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e.jacob\Downloads\"/>
    </mc:Choice>
  </mc:AlternateContent>
  <xr:revisionPtr revIDLastSave="0" documentId="13_ncr:1_{38D45842-FB92-424A-89E4-2F485CA1FC86}" xr6:coauthVersionLast="47" xr6:coauthVersionMax="47" xr10:uidLastSave="{00000000-0000-0000-0000-000000000000}"/>
  <workbookProtection workbookAlgorithmName="SHA-512" workbookHashValue="RC/Z6Qjl9DmY8H6esLMX9JUoeKtY9+Pw/qFntoq5r6l7f/wiCWwZvgGRmx6QOPbx+ovQkV/+AOudRPg6tG93hw==" workbookSaltValue="uJahyj4IIpyJ+NjrdsIM8Q==" workbookSpinCount="100000" lockStructure="1"/>
  <bookViews>
    <workbookView xWindow="-108" yWindow="-108" windowWidth="23256" windowHeight="12576" activeTab="2" xr2:uid="{00000000-000D-0000-FFFF-FFFF00000000}"/>
  </bookViews>
  <sheets>
    <sheet name="Capa" sheetId="12" r:id="rId1"/>
    <sheet name="Esgoto gerado" sheetId="22" r:id="rId2"/>
    <sheet name="Custos de operação" sheetId="4" r:id="rId3"/>
    <sheet name="Investimentos" sheetId="10" r:id="rId4"/>
    <sheet name="BDI" sheetId="8" r:id="rId5"/>
    <sheet name="Encargos sociais" sheetId="9" r:id="rId6"/>
    <sheet name="Horas trabalhadas" sheetId="20" r:id="rId7"/>
  </sheets>
  <definedNames>
    <definedName name="_xlnm.Print_Area" localSheetId="4">BDI!$A$1:$F$26</definedName>
    <definedName name="_xlnm.Print_Area" localSheetId="1">'Esgoto gerado'!$A$1:$D$31</definedName>
    <definedName name="_xlnm.Print_Titles" localSheetId="2">'Custos de operação'!$1:$5</definedName>
    <definedName name="_xlnm.Print_Titles" localSheetId="5">'Encargos sociais'!$1:$4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C16" i="22"/>
  <c r="G41" i="4" l="1"/>
  <c r="G42" i="4"/>
  <c r="F11" i="10"/>
  <c r="F12" i="10"/>
  <c r="G12" i="10" s="1"/>
  <c r="I12" i="10" s="1"/>
  <c r="D18" i="4"/>
  <c r="C59" i="9" s="1"/>
  <c r="C10" i="22"/>
  <c r="E9" i="10"/>
  <c r="D71" i="4"/>
  <c r="A60" i="4"/>
  <c r="G43" i="4"/>
  <c r="G40" i="4"/>
  <c r="F23" i="4"/>
  <c r="E23" i="4"/>
  <c r="E24" i="4"/>
  <c r="G21" i="4"/>
  <c r="G22" i="4"/>
  <c r="D69" i="4"/>
  <c r="G8" i="10"/>
  <c r="G11" i="10" l="1"/>
  <c r="I11" i="10" s="1"/>
  <c r="G23" i="4"/>
  <c r="C17" i="22"/>
  <c r="A37" i="4"/>
  <c r="A58" i="4" s="1"/>
  <c r="A5" i="4"/>
  <c r="F10" i="10"/>
  <c r="G10" i="10" s="1"/>
  <c r="C11" i="22" l="1"/>
  <c r="C9" i="22" s="1"/>
  <c r="C8" i="22" s="1"/>
  <c r="I10" i="10"/>
  <c r="F9" i="4" s="1"/>
  <c r="E45" i="4" l="1"/>
  <c r="G45" i="4" s="1"/>
  <c r="E44" i="4"/>
  <c r="G44" i="4" s="1"/>
  <c r="D67" i="4"/>
  <c r="E46" i="4"/>
  <c r="G46" i="4" s="1"/>
  <c r="G47" i="4" l="1"/>
  <c r="G59" i="4" s="1"/>
  <c r="F13" i="10"/>
  <c r="F9" i="10"/>
  <c r="G13" i="10" l="1"/>
  <c r="I13" i="10" s="1"/>
  <c r="F8" i="4" s="1"/>
  <c r="G9" i="10"/>
  <c r="I9" i="10" s="1"/>
  <c r="F12" i="4" s="1"/>
  <c r="A1" i="20" l="1"/>
  <c r="A1" i="9"/>
  <c r="A1" i="8"/>
  <c r="A1" i="10"/>
  <c r="C37" i="20" l="1"/>
  <c r="C33" i="20"/>
  <c r="C32" i="20" s="1"/>
  <c r="C31" i="20"/>
  <c r="C28" i="20" s="1"/>
  <c r="C26" i="20"/>
  <c r="C24" i="20"/>
  <c r="C11" i="20"/>
  <c r="C12" i="20" s="1"/>
  <c r="C14" i="20" s="1"/>
  <c r="C23" i="20" l="1"/>
  <c r="C44" i="20" s="1"/>
  <c r="C17" i="20"/>
  <c r="C19" i="20" s="1"/>
  <c r="C7" i="20"/>
  <c r="C34" i="9" s="1"/>
  <c r="C45" i="20" l="1"/>
  <c r="C21" i="20"/>
  <c r="C16" i="20" s="1"/>
  <c r="C42" i="9" s="1"/>
  <c r="C24" i="9" l="1"/>
  <c r="C28" i="9"/>
  <c r="C21" i="9"/>
  <c r="C23" i="9"/>
  <c r="C22" i="9"/>
  <c r="C20" i="9"/>
  <c r="C43" i="9"/>
  <c r="C36" i="9"/>
  <c r="C46" i="20"/>
  <c r="C19" i="9"/>
  <c r="A64" i="4" l="1"/>
  <c r="A56" i="4"/>
  <c r="A59" i="4"/>
  <c r="A57" i="4"/>
  <c r="A55" i="4"/>
  <c r="A54" i="4"/>
  <c r="G14" i="10" l="1"/>
  <c r="F14" i="10"/>
  <c r="C16" i="9"/>
  <c r="C7" i="9"/>
  <c r="F15" i="4" l="1"/>
  <c r="G12" i="4"/>
  <c r="G55" i="4" s="1"/>
  <c r="G8" i="4"/>
  <c r="G9" i="4"/>
  <c r="I14" i="10"/>
  <c r="E20" i="8"/>
  <c r="E19" i="8"/>
  <c r="F15" i="8" s="1"/>
  <c r="G15" i="4" l="1"/>
  <c r="G56" i="4" s="1"/>
  <c r="G54" i="4"/>
  <c r="F25" i="8"/>
  <c r="C39" i="9" l="1"/>
  <c r="C27" i="9" s="1"/>
  <c r="C37" i="9"/>
  <c r="C44" i="9" l="1"/>
  <c r="C41" i="9" s="1"/>
  <c r="C48" i="9" s="1"/>
  <c r="C25" i="9"/>
  <c r="C18" i="9" s="1"/>
  <c r="C60" i="9" l="1"/>
  <c r="C54" i="9"/>
  <c r="C63" i="9"/>
  <c r="C67" i="9" s="1"/>
  <c r="C47" i="9"/>
  <c r="C49" i="9" s="1"/>
  <c r="C46" i="9" s="1"/>
  <c r="C51" i="9" s="1"/>
  <c r="E33" i="4"/>
  <c r="C68" i="9" l="1"/>
  <c r="C69" i="9" s="1"/>
  <c r="C61" i="9" s="1"/>
  <c r="C53" i="9" s="1"/>
  <c r="C72" i="9" s="1"/>
  <c r="E36" i="4"/>
  <c r="E32" i="4"/>
  <c r="E30" i="4"/>
  <c r="E35" i="4"/>
  <c r="E31" i="4"/>
  <c r="E34" i="4"/>
  <c r="F25" i="4" l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G20" i="4"/>
  <c r="G19" i="4"/>
  <c r="G37" i="4" l="1"/>
  <c r="G58" i="4" s="1"/>
  <c r="G24" i="4"/>
  <c r="G25" i="4" s="1"/>
  <c r="G26" i="4" l="1"/>
  <c r="E50" i="4" l="1"/>
  <c r="G50" i="4" s="1"/>
  <c r="G51" i="4" s="1"/>
  <c r="G60" i="4" s="1"/>
  <c r="G57" i="4"/>
  <c r="G61" i="4" l="1"/>
  <c r="F54" i="4" s="1"/>
  <c r="F56" i="4" l="1"/>
  <c r="F55" i="4"/>
  <c r="F59" i="4"/>
  <c r="F60" i="4"/>
  <c r="F57" i="4"/>
  <c r="F58" i="4"/>
  <c r="G64" i="4"/>
  <c r="G65" i="4" s="1"/>
  <c r="G71" i="4" s="1"/>
  <c r="F61" i="4" l="1"/>
  <c r="G67" i="4"/>
  <c r="G69" i="4"/>
</calcChain>
</file>

<file path=xl/sharedStrings.xml><?xml version="1.0" encoding="utf-8"?>
<sst xmlns="http://schemas.openxmlformats.org/spreadsheetml/2006/main" count="463" uniqueCount="304">
  <si>
    <t>R$</t>
  </si>
  <si>
    <t>TOTAL</t>
  </si>
  <si>
    <t>www.calculador.com.br/calculo/financiamento-price</t>
  </si>
  <si>
    <t>PROJEÇÃO ANUAL</t>
  </si>
  <si>
    <t>Qtde</t>
  </si>
  <si>
    <t>Nova</t>
  </si>
  <si>
    <t>Novo</t>
  </si>
  <si>
    <t>CUSTO DIRETO DO PESSOAL</t>
  </si>
  <si>
    <t>qte</t>
  </si>
  <si>
    <t>Salario</t>
  </si>
  <si>
    <t>Custo Mensal</t>
  </si>
  <si>
    <t>Individual</t>
  </si>
  <si>
    <t>Adicional de Insalubridade 40%</t>
  </si>
  <si>
    <t>Total Encargos trabalhistas:</t>
  </si>
  <si>
    <t>TOTAL CUSTO DIRETO DE PESSOAL</t>
  </si>
  <si>
    <t>Medida</t>
  </si>
  <si>
    <t>Preço</t>
  </si>
  <si>
    <t>Quant. ano</t>
  </si>
  <si>
    <t>Func</t>
  </si>
  <si>
    <t>Custo/func.</t>
  </si>
  <si>
    <t>Calça</t>
  </si>
  <si>
    <t>unidade</t>
  </si>
  <si>
    <t>Camiseta</t>
  </si>
  <si>
    <t>Botina</t>
  </si>
  <si>
    <t>pares</t>
  </si>
  <si>
    <t>Óculos</t>
  </si>
  <si>
    <t>Máscara</t>
  </si>
  <si>
    <t>Abafador</t>
  </si>
  <si>
    <t>Protetor Auricular</t>
  </si>
  <si>
    <t>Total do Faturamento antes dos impostos</t>
  </si>
  <si>
    <t>Tributos Federais: Pis/Cofins</t>
  </si>
  <si>
    <t>Tributos Municipais: ISS</t>
  </si>
  <si>
    <t>Tributos Federais -  IRPJ  (25% s/lucro)</t>
  </si>
  <si>
    <t>Tributos Federais - CSLL (9% s/lucro)</t>
  </si>
  <si>
    <t>BENEFICIOS - UNIFORMES / EPI´s</t>
  </si>
  <si>
    <t>Descrição</t>
  </si>
  <si>
    <t>Valor Unitário</t>
  </si>
  <si>
    <t>TOTAL GERAL</t>
  </si>
  <si>
    <t>TOTAL EQUIPAMENTOS</t>
  </si>
  <si>
    <t>Administração Central</t>
  </si>
  <si>
    <t>Custos Financeiros</t>
  </si>
  <si>
    <t>Margem de incerteza</t>
  </si>
  <si>
    <t xml:space="preserve">Tributos </t>
  </si>
  <si>
    <t>Lucro</t>
  </si>
  <si>
    <t>AC</t>
  </si>
  <si>
    <t>CF</t>
  </si>
  <si>
    <t>L</t>
  </si>
  <si>
    <t>MI</t>
  </si>
  <si>
    <t>%</t>
  </si>
  <si>
    <t>TOTAL DE CUSTOS</t>
  </si>
  <si>
    <t>ST</t>
  </si>
  <si>
    <t>Valor mensal</t>
  </si>
  <si>
    <t>Adotato</t>
  </si>
  <si>
    <t>Adotar entre</t>
  </si>
  <si>
    <t>5 - 10%</t>
  </si>
  <si>
    <t>A MARGEM DE INCERTEZA visa a situar a estimativa de custos elaborada pelo orgão contratante em função da inexatidão ao calculá-la, em um intervalo elástico de aceitabilidade, permitindo que o proponente corrija o preço de referência da Licitação ao orçar detalhadamente o projeto.</t>
  </si>
  <si>
    <t>Os CUSTOS FINANCEIROS visam a corrigir monetariamente os déficits de caixa que os contratos apresentam, principalmente em função da forma de medição e pagamento dos mesmos. A fórmula pode ser utilizada da seguinte maneira</t>
  </si>
  <si>
    <r>
      <t xml:space="preserve">CF = ((1+t/100) -1) </t>
    </r>
    <r>
      <rPr>
        <vertAlign val="superscript"/>
        <sz val="9"/>
        <color theme="1"/>
        <rFont val="Calibri"/>
        <family val="2"/>
        <scheme val="minor"/>
      </rPr>
      <t>(n/100)</t>
    </r>
    <r>
      <rPr>
        <sz val="9"/>
        <color theme="1"/>
        <rFont val="Calibri"/>
        <family val="2"/>
        <scheme val="minor"/>
      </rPr>
      <t xml:space="preserve">      x 100</t>
    </r>
  </si>
  <si>
    <t>t = taxa de juros de mercado ou de correção monetária, em percentagem ao mês.</t>
  </si>
  <si>
    <t>n = número de dias decorridos entre a data de equilíbrio dos desembolsos e a efetivação do recebimento contratual. Em média, podemos considerar 1/4 ou 25% dos dias decorridos entre o início da execução do empreendimento e a data do primeiro recebimento.</t>
  </si>
  <si>
    <t>A ADMINISTRAÇÃO CENTRAL reúne todos os custos da sede da empresa, inclusive o custo de comercialização, gestão de pessoal, contabilidade, pró-labore de sócios, departamento de compras e equipe de elaboração de propostas de preços, facilmente conhecidos através da contabilidade gerencial das empresas.</t>
  </si>
  <si>
    <t>AC = (Custo mensal ou anual da sede)/(Custo total mensal ou anual da empresa)</t>
  </si>
  <si>
    <t>8 - 32%</t>
  </si>
  <si>
    <t xml:space="preserve">O LUCRO PREVISTO da proposta é definido exclusivamente pelo prestador de serviço ou empresa contratada. É considerado um percentual e essencial para a sobrevivência e modernização das empresas. O percentual do lucro de cada empresa é definido em função do interesse da empresa no contrato, da análise de risco da proposta, do comportamento conhecido do cliente, da regularidade e exatidão do pagamento, da concorrência, da complexidade do projeto e, principalmente, das condições de mercado. </t>
  </si>
  <si>
    <t>5 -10%</t>
  </si>
  <si>
    <t>0 - 15%</t>
  </si>
  <si>
    <t>Nº</t>
  </si>
  <si>
    <t>DADOS</t>
  </si>
  <si>
    <t>UNIDADE</t>
  </si>
  <si>
    <t>OBSERVAÇÃO</t>
  </si>
  <si>
    <t>NÚMERO MÉDIO DE DIAS IMPRODUTIVOS</t>
  </si>
  <si>
    <t>1.1</t>
  </si>
  <si>
    <t>Número de dias no ano:</t>
  </si>
  <si>
    <t>dias</t>
  </si>
  <si>
    <t>Definido</t>
  </si>
  <si>
    <t>1.2</t>
  </si>
  <si>
    <t>Número de dias na semana:</t>
  </si>
  <si>
    <t>1.3</t>
  </si>
  <si>
    <t>Número de sábado e domingo na semana:</t>
  </si>
  <si>
    <t>1.4</t>
  </si>
  <si>
    <t>Número de semanas no ano:</t>
  </si>
  <si>
    <t>semanas</t>
  </si>
  <si>
    <t>Calculado</t>
  </si>
  <si>
    <t>(1.1/1.2)</t>
  </si>
  <si>
    <t>1.5</t>
  </si>
  <si>
    <t>Número de sábados e domingos no ano:</t>
  </si>
  <si>
    <t>(1.3 x 1.4)</t>
  </si>
  <si>
    <t>1.6</t>
  </si>
  <si>
    <t>Número de feriados em dias úteis:</t>
  </si>
  <si>
    <t>1.7</t>
  </si>
  <si>
    <t>Dias improdutivos no ano:</t>
  </si>
  <si>
    <t>(1.5 + 1.6)</t>
  </si>
  <si>
    <t>NÚMERO DE HORAS TRABALHADAS PELA EMPRESA</t>
  </si>
  <si>
    <t>2.1</t>
  </si>
  <si>
    <t>Total de dias trabalhados por ano:</t>
  </si>
  <si>
    <t>(1.1 - 1.7)</t>
  </si>
  <si>
    <t>2.2</t>
  </si>
  <si>
    <t>Jornada diária de trabalho:</t>
  </si>
  <si>
    <t>horas</t>
  </si>
  <si>
    <t>Acordo coletivo</t>
  </si>
  <si>
    <t>2.3</t>
  </si>
  <si>
    <t>Número de horas trabalhadas por ano:</t>
  </si>
  <si>
    <t>(2.1 x 2.2)</t>
  </si>
  <si>
    <t>2.4</t>
  </si>
  <si>
    <t>Número de meses no ano:</t>
  </si>
  <si>
    <t>meses</t>
  </si>
  <si>
    <t>2.5</t>
  </si>
  <si>
    <t>Número médio de horas trabalhadas pela empresa no mês</t>
  </si>
  <si>
    <t>(2.3 / 2.4)</t>
  </si>
  <si>
    <t>NÚMERO DE HORAS IMPRODUTIVAS DO EMPREGADO</t>
  </si>
  <si>
    <t>horas/ano</t>
  </si>
  <si>
    <t>(3.1 + 3.2 + 3.3 + 3.4 + 3.5)</t>
  </si>
  <si>
    <t>3.1</t>
  </si>
  <si>
    <t>Número de horas - Férias</t>
  </si>
  <si>
    <t>3.1.1</t>
  </si>
  <si>
    <t>Número de dias de férias</t>
  </si>
  <si>
    <t xml:space="preserve">dias </t>
  </si>
  <si>
    <t>3.2</t>
  </si>
  <si>
    <t>Número de horas - Faltas justificadas</t>
  </si>
  <si>
    <t>(3.2.1 x 2.2)</t>
  </si>
  <si>
    <t>3.2.1</t>
  </si>
  <si>
    <t>Número de dias de faltas justificadas por ano:</t>
  </si>
  <si>
    <t>3.3</t>
  </si>
  <si>
    <t>Número de horas  - Auxílio enfermidade</t>
  </si>
  <si>
    <t>((2.2 x (3.3.2 - 3.3.3)) x (3.3.1 / 100)</t>
  </si>
  <si>
    <t>3.3.1</t>
  </si>
  <si>
    <t>% de funcionários que recorrem ao auxílio enfermidade:</t>
  </si>
  <si>
    <t>3.3.2</t>
  </si>
  <si>
    <t>Número de dias no auxílio enfermidade:</t>
  </si>
  <si>
    <t>Prazo concedido 15 dias - auxílo enfermidade</t>
  </si>
  <si>
    <t>3.3.3</t>
  </si>
  <si>
    <t>Número de sábados e domingos no auxílio enfermidade:</t>
  </si>
  <si>
    <t>((3.3.1 / 1.2) x 1.3))</t>
  </si>
  <si>
    <t>3.4</t>
  </si>
  <si>
    <t>Número de horas - Aviso prévio</t>
  </si>
  <si>
    <t>3.4.1 x 2.2 x (3.4.3/100) x (3.4.4/100) x (3.4.2/2.4)</t>
  </si>
  <si>
    <t>3.4.1</t>
  </si>
  <si>
    <t>Dias úteis dispensado do aviso prévio trabalhado:</t>
  </si>
  <si>
    <t>(1.2 - 1.3)</t>
  </si>
  <si>
    <t>(trabalha 1 semana a menos)</t>
  </si>
  <si>
    <t>3.4.2</t>
  </si>
  <si>
    <t>Permanência média dos funcionários na empresa:</t>
  </si>
  <si>
    <t>3.4.3</t>
  </si>
  <si>
    <t>% de empregados que são demitidos:</t>
  </si>
  <si>
    <t>3.4.4</t>
  </si>
  <si>
    <t>% de empregados que cumprem o aviso prévio:</t>
  </si>
  <si>
    <t>3.5</t>
  </si>
  <si>
    <t>Número de horas - Licença Paternidade</t>
  </si>
  <si>
    <t>(3.5.1 x 2.2 x (3.5.2/100) x (3.5.3/100)</t>
  </si>
  <si>
    <t>3.5.1</t>
  </si>
  <si>
    <t>Dias de licença paternidade:</t>
  </si>
  <si>
    <t>3.5.2</t>
  </si>
  <si>
    <t>% de empregados do sexo masculino:</t>
  </si>
  <si>
    <t>3.5.3</t>
  </si>
  <si>
    <t>% dos empregados que recorrem a licença:</t>
  </si>
  <si>
    <t xml:space="preserve">NÚMERO DE HORAS DE CURSOS </t>
  </si>
  <si>
    <t>THIA</t>
  </si>
  <si>
    <t>NÚMERO TOTAL DE HORAS IMPRODUTIVAS:</t>
  </si>
  <si>
    <t>(3 + 4)</t>
  </si>
  <si>
    <t>THTA</t>
  </si>
  <si>
    <t>NÚMERO TOTAL DE HORAS TRABALHADAS PELO EMPREGADO:</t>
  </si>
  <si>
    <t>(2.3 - THIA)</t>
  </si>
  <si>
    <t>THTM</t>
  </si>
  <si>
    <t>NÚMERO DE HORAS PRODUTIVAS DO EMPREGADO POR MÊS:</t>
  </si>
  <si>
    <t>horas/mês</t>
  </si>
  <si>
    <t>(THTA/2.4)</t>
  </si>
  <si>
    <t>GRUPO 2.1 - ENCARGOS SOCIAIS SOBRE A FOLHA DE PAGAMENTO</t>
  </si>
  <si>
    <t>Instituto Nacional de Securidade Social - INSS</t>
  </si>
  <si>
    <t>Fundo de Garantia por Tempo de Serviço - FGTS</t>
  </si>
  <si>
    <t>Serviço Social do Comércio - SESC</t>
  </si>
  <si>
    <t>Serviço Nacional do Aprendizado do Comércio - SENAC</t>
  </si>
  <si>
    <t>Salário Educação</t>
  </si>
  <si>
    <t>Serviço de Apoio a Pequena e Média Empresa - SEBRAE</t>
  </si>
  <si>
    <t>Instituto Nacional de Colonização e Reforma Agrária - INCRA</t>
  </si>
  <si>
    <t>Seguro contra os Riscos de Acidente de Trabalho</t>
  </si>
  <si>
    <t xml:space="preserve">GRUPO 2.2 - DIAS NÃO TRABALHADOS </t>
  </si>
  <si>
    <t xml:space="preserve">Férias anuais </t>
  </si>
  <si>
    <t>Faltas justificadas</t>
  </si>
  <si>
    <t>Auxílio enfermidade</t>
  </si>
  <si>
    <t>Aviso prévio trabalhado</t>
  </si>
  <si>
    <t>Licença paternidade</t>
  </si>
  <si>
    <t>Cursos</t>
  </si>
  <si>
    <t xml:space="preserve">GRUPO 2.3 - ENCARGOS DE DEMISSÃO </t>
  </si>
  <si>
    <t>Aviso prévio indenizado</t>
  </si>
  <si>
    <t>Empregados demitidos</t>
  </si>
  <si>
    <t>Permanência média na empresa</t>
  </si>
  <si>
    <t>Multa sobre FGTS acumulado no período)</t>
  </si>
  <si>
    <t>Correção anual do FGTS</t>
  </si>
  <si>
    <t>Correção mensal do FGTS</t>
  </si>
  <si>
    <t>Depósito por rescisão sem justa causa</t>
  </si>
  <si>
    <t>% mensal paga pelo empregador para o FGTS</t>
  </si>
  <si>
    <t>Contribuição mensal FGTS</t>
  </si>
  <si>
    <t>Contribuição sobre 13º</t>
  </si>
  <si>
    <t>Valor acumulado corrigido</t>
  </si>
  <si>
    <t xml:space="preserve">GRUPO 2.4 - ABONOS LEGAIS </t>
  </si>
  <si>
    <t>13º salário</t>
  </si>
  <si>
    <t>Abono de férias (1/3) sobre férias</t>
  </si>
  <si>
    <t>GRUPO 2.5 - REINCIDÊNCIAS</t>
  </si>
  <si>
    <t>Grupo 2.1 x Grupo 2.2</t>
  </si>
  <si>
    <t>Grupo 2.1 x Grupo 2.4</t>
  </si>
  <si>
    <t>SUB TOTAL DE ENCARGOS SOCIAIS</t>
  </si>
  <si>
    <t>GRUPO 2.6 - ENCARGOS COMPLEMENTARES</t>
  </si>
  <si>
    <t>Auxílio alimentação</t>
  </si>
  <si>
    <t>% dos funcionários que recebem auxílio alimentação</t>
  </si>
  <si>
    <t>Valor do auxílio alimentação (R$)</t>
  </si>
  <si>
    <t>reais</t>
  </si>
  <si>
    <t>Parcela subsidiada pela empresa</t>
  </si>
  <si>
    <t>Número média de dias úteis mês</t>
  </si>
  <si>
    <t>% sobre o salário</t>
  </si>
  <si>
    <t>Vale transporte</t>
  </si>
  <si>
    <t>% dos funcionários que recebem vale transporte</t>
  </si>
  <si>
    <t>Salário médio do funcionário que recebe - Analista</t>
  </si>
  <si>
    <t>Valor médio diário do vale transporte (R$)</t>
  </si>
  <si>
    <t xml:space="preserve">% de desconto do vale transporte do funcionário </t>
  </si>
  <si>
    <t>Custo da empresa com vale transporte</t>
  </si>
  <si>
    <t>Assistência médica</t>
  </si>
  <si>
    <t>Seguro coletivo</t>
  </si>
  <si>
    <t>Sálario médio</t>
  </si>
  <si>
    <t>Salário médio dos funcionários que recebem</t>
  </si>
  <si>
    <t>SITUAÇÃO DOS EQUIPAMENTOS</t>
  </si>
  <si>
    <t>QUANTIDADE</t>
  </si>
  <si>
    <t>CUSTO UNITÁRIO</t>
  </si>
  <si>
    <t>CUSTO TOTAL</t>
  </si>
  <si>
    <t>FINANCIAMENTO TABELA PRICE</t>
  </si>
  <si>
    <t>MANUTENÇÃO DOS EQUIPAMENTOS</t>
  </si>
  <si>
    <t>OUTROS CUSTOS</t>
  </si>
  <si>
    <t>TOTAL OUTROS CUSTOS</t>
  </si>
  <si>
    <t>Troca de óleo, lubrificação, lavagem etc</t>
  </si>
  <si>
    <t>BENEFÍCIOS E DESPESAS INDIRETAS</t>
  </si>
  <si>
    <t>HORAS TRABALHADAS</t>
  </si>
  <si>
    <t>CÁLCULO DOS ENCARGOS SOCIAIS</t>
  </si>
  <si>
    <t>percentual</t>
  </si>
  <si>
    <t>Especificação</t>
  </si>
  <si>
    <t>Vida útil (anos)</t>
  </si>
  <si>
    <t>INVESTIMENTOS</t>
  </si>
  <si>
    <t>Empregados necessários para atendimento</t>
  </si>
  <si>
    <t>Total de empregados/folha de salários</t>
  </si>
  <si>
    <t>Encarregado</t>
  </si>
  <si>
    <t>Desconto do funcionário (salário x 6%)</t>
  </si>
  <si>
    <t xml:space="preserve">TOTAL GERAL DOS CUSTOS </t>
  </si>
  <si>
    <t>CUSTOS MENSAIS DE GESTÃO DOS RESÍDUOS DO SHOPPING</t>
  </si>
  <si>
    <t>EQUIPAMENTOS DE OPERAÇÃO</t>
  </si>
  <si>
    <t>CUSTOS OPERACIONAIS DE UM SISTEMA DE ESGOTAMENTO SANITÁRIO</t>
  </si>
  <si>
    <t>SISTEMA DE ESGOTAMENTO SANITÁRIO - SES</t>
  </si>
  <si>
    <t>População atendida pelo SES</t>
  </si>
  <si>
    <t>habitantes</t>
  </si>
  <si>
    <t>Volume total gerado</t>
  </si>
  <si>
    <t>l/s</t>
  </si>
  <si>
    <t>Vazão gerada</t>
  </si>
  <si>
    <t>Vazão gerada por infiltração</t>
  </si>
  <si>
    <t>Cota per capita dia</t>
  </si>
  <si>
    <t>l/hab x dia</t>
  </si>
  <si>
    <t>Coeficiente de retorno</t>
  </si>
  <si>
    <t>K1 - coeficiente de dia de maior consumo</t>
  </si>
  <si>
    <t xml:space="preserve">K2 - coeficiente de hora de maior consumo </t>
  </si>
  <si>
    <t>Número de ligações</t>
  </si>
  <si>
    <t>Rede estimada</t>
  </si>
  <si>
    <t>Metros de rede por ligação</t>
  </si>
  <si>
    <t>m/ligação</t>
  </si>
  <si>
    <t>Número de habitantes por domicílio</t>
  </si>
  <si>
    <t>habitantes/domicílio</t>
  </si>
  <si>
    <t>Taxa de infiltração</t>
  </si>
  <si>
    <t>L/s x m</t>
  </si>
  <si>
    <t>Custo de energia elétrica</t>
  </si>
  <si>
    <t>Material de tratamento</t>
  </si>
  <si>
    <t>Transporte e disposição do lodo</t>
  </si>
  <si>
    <t>Despesas gerais e administrativas</t>
  </si>
  <si>
    <t>Custos operacionais de um sistema de esgotamento sanitário</t>
  </si>
  <si>
    <t>Nome do município</t>
  </si>
  <si>
    <t>Investimentos em obras</t>
  </si>
  <si>
    <t>Veículo de manutenção</t>
  </si>
  <si>
    <t>Equipamentos de manutenção</t>
  </si>
  <si>
    <t xml:space="preserve">Kit manutenção - 5 anos </t>
  </si>
  <si>
    <t>Manutenção dos veículos</t>
  </si>
  <si>
    <t>RETORNO DOS INVESTIMENTOS</t>
  </si>
  <si>
    <t>Operadores ETE</t>
  </si>
  <si>
    <t>Pessoal manutenção rede</t>
  </si>
  <si>
    <t>Ajudande geral</t>
  </si>
  <si>
    <t>R$/l</t>
  </si>
  <si>
    <t>R$/ano</t>
  </si>
  <si>
    <t>R$/m³ ET</t>
  </si>
  <si>
    <t>m³/mês</t>
  </si>
  <si>
    <t>Quantidade/mês</t>
  </si>
  <si>
    <t>Manutenção civil, elétrica e hidráulica da ETE</t>
  </si>
  <si>
    <t>MANUTENÇÃO DA ETE</t>
  </si>
  <si>
    <t>m³</t>
  </si>
  <si>
    <t>DESPESAS GERAIS E ADMINISTRATIVAS</t>
  </si>
  <si>
    <t xml:space="preserve">CUSTOS </t>
  </si>
  <si>
    <t>R$/m³</t>
  </si>
  <si>
    <t>economias</t>
  </si>
  <si>
    <t>R$/economia/mês</t>
  </si>
  <si>
    <t>R$/habitante/mês</t>
  </si>
  <si>
    <t>Valor do investimento</t>
  </si>
  <si>
    <t>R$ (milhões de reais)</t>
  </si>
  <si>
    <t>R$/mês</t>
  </si>
  <si>
    <t>Caminhão Basculante</t>
  </si>
  <si>
    <t>Retroescavadeira</t>
  </si>
  <si>
    <t>Custo de combustivel veículo pequeno</t>
  </si>
  <si>
    <t>Custo de combustivel veículo grande</t>
  </si>
  <si>
    <t>Custo de combustivel retoescavadeira</t>
  </si>
  <si>
    <t>Total dos investimentos</t>
  </si>
  <si>
    <t>Entrada de dados</t>
  </si>
  <si>
    <t>metro</t>
  </si>
  <si>
    <t>xx/xx/2022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</si>
</sst>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#,##0.000"/>
    <numFmt numFmtId="167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rgb="FFFF0000"/>
      <name val="Calibri"/>
      <family val="2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b/>
      <sz val="11"/>
      <color theme="0"/>
      <name val="Calibri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bgColor rgb="FF00206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3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4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Fill="1"/>
    <xf numFmtId="0" fontId="3" fillId="0" borderId="34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10" fontId="3" fillId="0" borderId="50" xfId="0" applyNumberFormat="1" applyFont="1" applyFill="1" applyBorder="1" applyAlignment="1">
      <alignment vertical="center"/>
    </xf>
    <xf numFmtId="10" fontId="3" fillId="0" borderId="37" xfId="0" applyNumberFormat="1" applyFont="1" applyFill="1" applyBorder="1" applyAlignment="1">
      <alignment vertical="center"/>
    </xf>
    <xf numFmtId="10" fontId="3" fillId="0" borderId="35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24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0" fillId="0" borderId="29" xfId="0" applyBorder="1" applyAlignment="1">
      <alignment vertical="center" wrapText="1"/>
    </xf>
    <xf numFmtId="0" fontId="10" fillId="0" borderId="22" xfId="0" applyFont="1" applyBorder="1" applyAlignment="1">
      <alignment horizontal="justify" vertical="center" wrapText="1"/>
    </xf>
    <xf numFmtId="10" fontId="3" fillId="0" borderId="26" xfId="0" applyNumberFormat="1" applyFont="1" applyFill="1" applyBorder="1" applyAlignment="1">
      <alignment horizontal="center" vertical="center"/>
    </xf>
    <xf numFmtId="10" fontId="3" fillId="0" borderId="30" xfId="0" applyNumberFormat="1" applyFont="1" applyFill="1" applyBorder="1" applyAlignment="1">
      <alignment horizontal="center" vertical="center"/>
    </xf>
    <xf numFmtId="39" fontId="3" fillId="0" borderId="14" xfId="3" applyNumberFormat="1" applyFont="1" applyFill="1" applyBorder="1" applyAlignment="1">
      <alignment vertical="center"/>
    </xf>
    <xf numFmtId="39" fontId="3" fillId="0" borderId="16" xfId="3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164" fontId="7" fillId="2" borderId="16" xfId="2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/>
    </xf>
    <xf numFmtId="164" fontId="7" fillId="2" borderId="40" xfId="2" applyFont="1" applyFill="1" applyBorder="1" applyAlignment="1">
      <alignment vertical="center"/>
    </xf>
    <xf numFmtId="164" fontId="7" fillId="2" borderId="17" xfId="2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39" fontId="3" fillId="0" borderId="14" xfId="3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39" fontId="7" fillId="0" borderId="14" xfId="3" applyNumberFormat="1" applyFont="1" applyFill="1" applyBorder="1" applyAlignment="1">
      <alignment vertical="center"/>
    </xf>
    <xf numFmtId="167" fontId="7" fillId="2" borderId="40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center" vertical="center"/>
    </xf>
    <xf numFmtId="10" fontId="4" fillId="5" borderId="50" xfId="0" applyNumberFormat="1" applyFont="1" applyFill="1" applyBorder="1" applyAlignment="1">
      <alignment vertical="center"/>
    </xf>
    <xf numFmtId="0" fontId="4" fillId="5" borderId="36" xfId="0" applyFont="1" applyFill="1" applyBorder="1" applyAlignment="1">
      <alignment vertical="center"/>
    </xf>
    <xf numFmtId="0" fontId="4" fillId="5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/>
    </xf>
    <xf numFmtId="0" fontId="3" fillId="5" borderId="30" xfId="0" applyFont="1" applyFill="1" applyBorder="1" applyAlignment="1">
      <alignment horizontal="center" vertical="center"/>
    </xf>
    <xf numFmtId="10" fontId="4" fillId="5" borderId="37" xfId="0" applyNumberFormat="1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0" fontId="4" fillId="5" borderId="30" xfId="0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10" fontId="4" fillId="5" borderId="37" xfId="0" applyNumberFormat="1" applyFont="1" applyFill="1" applyBorder="1" applyAlignment="1">
      <alignment horizontal="right" vertical="center"/>
    </xf>
    <xf numFmtId="0" fontId="24" fillId="6" borderId="11" xfId="0" applyFont="1" applyFill="1" applyBorder="1" applyAlignment="1">
      <alignment horizontal="left" vertical="center"/>
    </xf>
    <xf numFmtId="0" fontId="25" fillId="6" borderId="19" xfId="0" applyFont="1" applyFill="1" applyBorder="1" applyAlignment="1">
      <alignment vertical="center"/>
    </xf>
    <xf numFmtId="0" fontId="24" fillId="6" borderId="40" xfId="0" applyFont="1" applyFill="1" applyBorder="1" applyAlignment="1">
      <alignment horizontal="right" vertical="center"/>
    </xf>
    <xf numFmtId="10" fontId="24" fillId="7" borderId="17" xfId="0" applyNumberFormat="1" applyFont="1" applyFill="1" applyBorder="1" applyAlignment="1">
      <alignment vertical="center"/>
    </xf>
    <xf numFmtId="0" fontId="24" fillId="6" borderId="42" xfId="0" applyFont="1" applyFill="1" applyBorder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3" fontId="16" fillId="0" borderId="0" xfId="6" applyNumberFormat="1" applyFont="1" applyAlignment="1">
      <alignment horizontal="center" vertical="center"/>
    </xf>
    <xf numFmtId="3" fontId="16" fillId="0" borderId="0" xfId="6" applyNumberFormat="1" applyFont="1" applyAlignment="1">
      <alignment horizontal="left" vertical="center"/>
    </xf>
    <xf numFmtId="0" fontId="16" fillId="0" borderId="0" xfId="6" applyFont="1" applyAlignment="1">
      <alignment horizontal="left" vertical="center"/>
    </xf>
    <xf numFmtId="0" fontId="9" fillId="0" borderId="54" xfId="6" applyFont="1" applyFill="1" applyBorder="1" applyAlignment="1">
      <alignment horizontal="left" vertical="center"/>
    </xf>
    <xf numFmtId="4" fontId="22" fillId="8" borderId="0" xfId="6" applyNumberFormat="1" applyFont="1" applyFill="1" applyAlignment="1">
      <alignment horizontal="center" vertical="center"/>
    </xf>
    <xf numFmtId="0" fontId="16" fillId="0" borderId="54" xfId="6" applyFont="1" applyFill="1" applyBorder="1" applyAlignment="1">
      <alignment horizontal="center" vertical="center"/>
    </xf>
    <xf numFmtId="0" fontId="16" fillId="0" borderId="54" xfId="6" applyFont="1" applyFill="1" applyBorder="1" applyAlignment="1">
      <alignment horizontal="left" vertical="center"/>
    </xf>
    <xf numFmtId="3" fontId="16" fillId="4" borderId="0" xfId="6" applyNumberFormat="1" applyFont="1" applyFill="1" applyAlignment="1">
      <alignment horizontal="center" vertical="center"/>
    </xf>
    <xf numFmtId="3" fontId="16" fillId="0" borderId="54" xfId="6" applyNumberFormat="1" applyFont="1" applyFill="1" applyBorder="1" applyAlignment="1">
      <alignment horizontal="left" vertical="center"/>
    </xf>
    <xf numFmtId="4" fontId="16" fillId="9" borderId="0" xfId="6" applyNumberFormat="1" applyFont="1" applyFill="1" applyAlignment="1">
      <alignment horizontal="center" vertical="center"/>
    </xf>
    <xf numFmtId="3" fontId="16" fillId="9" borderId="0" xfId="6" applyNumberFormat="1" applyFont="1" applyFill="1" applyAlignment="1">
      <alignment horizontal="center" vertical="center"/>
    </xf>
    <xf numFmtId="0" fontId="16" fillId="0" borderId="0" xfId="6" applyFont="1" applyFill="1" applyAlignment="1">
      <alignment horizontal="center" vertical="center"/>
    </xf>
    <xf numFmtId="3" fontId="16" fillId="0" borderId="0" xfId="6" applyNumberFormat="1" applyFont="1" applyFill="1" applyAlignment="1">
      <alignment horizontal="left" vertical="center"/>
    </xf>
    <xf numFmtId="0" fontId="16" fillId="0" borderId="0" xfId="6" applyFont="1" applyFill="1" applyAlignment="1">
      <alignment horizontal="left" vertical="center"/>
    </xf>
    <xf numFmtId="0" fontId="16" fillId="0" borderId="54" xfId="6" applyFont="1" applyFill="1" applyBorder="1" applyAlignment="1">
      <alignment vertical="center"/>
    </xf>
    <xf numFmtId="3" fontId="16" fillId="0" borderId="0" xfId="6" applyNumberFormat="1" applyFont="1" applyFill="1" applyAlignment="1">
      <alignment horizontal="center" vertical="center"/>
    </xf>
    <xf numFmtId="0" fontId="9" fillId="0" borderId="54" xfId="6" applyFont="1" applyFill="1" applyBorder="1" applyAlignment="1">
      <alignment horizontal="center" vertical="center"/>
    </xf>
    <xf numFmtId="4" fontId="9" fillId="9" borderId="0" xfId="6" applyNumberFormat="1" applyFont="1" applyFill="1" applyAlignment="1">
      <alignment horizontal="center" vertical="center"/>
    </xf>
    <xf numFmtId="0" fontId="16" fillId="0" borderId="54" xfId="6" applyFont="1" applyFill="1" applyBorder="1" applyAlignment="1">
      <alignment horizontal="right" vertical="center"/>
    </xf>
    <xf numFmtId="3" fontId="9" fillId="9" borderId="0" xfId="6" applyNumberFormat="1" applyFont="1" applyFill="1" applyAlignment="1">
      <alignment horizontal="center" vertical="center"/>
    </xf>
    <xf numFmtId="3" fontId="22" fillId="8" borderId="54" xfId="6" applyNumberFormat="1" applyFont="1" applyFill="1" applyBorder="1" applyAlignment="1">
      <alignment horizontal="center" vertical="center"/>
    </xf>
    <xf numFmtId="3" fontId="9" fillId="0" borderId="54" xfId="6" applyNumberFormat="1" applyFont="1" applyFill="1" applyBorder="1" applyAlignment="1">
      <alignment horizontal="left" vertical="center"/>
    </xf>
    <xf numFmtId="10" fontId="16" fillId="0" borderId="0" xfId="8" applyNumberFormat="1" applyFont="1" applyAlignment="1">
      <alignment horizontal="center" vertical="center"/>
    </xf>
    <xf numFmtId="0" fontId="21" fillId="0" borderId="58" xfId="0" applyFont="1" applyBorder="1" applyAlignment="1">
      <alignment horizontal="center"/>
    </xf>
    <xf numFmtId="0" fontId="21" fillId="0" borderId="58" xfId="0" applyFont="1" applyFill="1" applyBorder="1" applyAlignment="1">
      <alignment horizontal="center" vertical="center" wrapText="1"/>
    </xf>
    <xf numFmtId="3" fontId="11" fillId="5" borderId="25" xfId="0" applyNumberFormat="1" applyFont="1" applyFill="1" applyBorder="1" applyAlignment="1">
      <alignment horizontal="center" vertical="center" wrapText="1"/>
    </xf>
    <xf numFmtId="9" fontId="11" fillId="5" borderId="52" xfId="0" applyNumberFormat="1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right" vertical="center"/>
    </xf>
    <xf numFmtId="4" fontId="11" fillId="5" borderId="40" xfId="0" applyNumberFormat="1" applyFont="1" applyFill="1" applyBorder="1" applyAlignment="1">
      <alignment horizontal="right" vertical="center"/>
    </xf>
    <xf numFmtId="4" fontId="11" fillId="5" borderId="17" xfId="0" applyNumberFormat="1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39" fontId="4" fillId="5" borderId="17" xfId="0" applyNumberFormat="1" applyFont="1" applyFill="1" applyBorder="1" applyAlignment="1">
      <alignment vertical="center"/>
    </xf>
    <xf numFmtId="164" fontId="4" fillId="5" borderId="17" xfId="0" applyNumberFormat="1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4" fontId="4" fillId="4" borderId="14" xfId="0" applyNumberFormat="1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center" vertical="center"/>
    </xf>
    <xf numFmtId="39" fontId="3" fillId="4" borderId="14" xfId="3" applyNumberFormat="1" applyFont="1" applyFill="1" applyBorder="1" applyAlignment="1">
      <alignment vertical="center"/>
    </xf>
    <xf numFmtId="39" fontId="3" fillId="4" borderId="16" xfId="3" applyNumberFormat="1" applyFont="1" applyFill="1" applyBorder="1" applyAlignment="1">
      <alignment horizontal="right" vertical="center"/>
    </xf>
    <xf numFmtId="1" fontId="7" fillId="4" borderId="14" xfId="2" applyNumberFormat="1" applyFont="1" applyFill="1" applyBorder="1" applyAlignment="1">
      <alignment horizontal="center" vertical="center"/>
    </xf>
    <xf numFmtId="10" fontId="3" fillId="4" borderId="14" xfId="4" applyNumberFormat="1" applyFont="1" applyFill="1" applyBorder="1" applyAlignment="1">
      <alignment vertical="center"/>
    </xf>
    <xf numFmtId="39" fontId="3" fillId="4" borderId="16" xfId="0" applyNumberFormat="1" applyFont="1" applyFill="1" applyBorder="1" applyAlignment="1">
      <alignment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2" fillId="6" borderId="54" xfId="6" applyFont="1" applyFill="1" applyBorder="1" applyAlignment="1">
      <alignment horizontal="center" vertical="center"/>
    </xf>
    <xf numFmtId="0" fontId="22" fillId="6" borderId="0" xfId="6" applyFont="1" applyFill="1" applyAlignment="1">
      <alignment horizontal="left" vertical="center"/>
    </xf>
    <xf numFmtId="4" fontId="22" fillId="6" borderId="0" xfId="6" applyNumberFormat="1" applyFont="1" applyFill="1" applyAlignment="1">
      <alignment horizontal="center" vertical="center"/>
    </xf>
    <xf numFmtId="3" fontId="22" fillId="6" borderId="0" xfId="6" applyNumberFormat="1" applyFont="1" applyFill="1" applyAlignment="1">
      <alignment horizontal="left" vertical="center"/>
    </xf>
    <xf numFmtId="0" fontId="22" fillId="6" borderId="0" xfId="6" applyFont="1" applyFill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4" fontId="29" fillId="5" borderId="0" xfId="0" applyNumberFormat="1" applyFont="1" applyFill="1" applyAlignment="1">
      <alignment horizontal="center" vertical="center"/>
    </xf>
    <xf numFmtId="3" fontId="29" fillId="5" borderId="0" xfId="0" applyNumberFormat="1" applyFont="1" applyFill="1" applyAlignment="1">
      <alignment horizontal="left" vertical="center"/>
    </xf>
    <xf numFmtId="4" fontId="30" fillId="0" borderId="0" xfId="0" applyNumberFormat="1" applyFont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3" fontId="30" fillId="5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4" fontId="29" fillId="3" borderId="0" xfId="0" applyNumberFormat="1" applyFont="1" applyFill="1" applyAlignment="1">
      <alignment horizontal="center" vertical="center"/>
    </xf>
    <xf numFmtId="3" fontId="29" fillId="3" borderId="0" xfId="0" applyNumberFormat="1" applyFont="1" applyFill="1" applyAlignment="1">
      <alignment horizontal="left" vertical="center"/>
    </xf>
    <xf numFmtId="166" fontId="30" fillId="0" borderId="0" xfId="0" applyNumberFormat="1" applyFont="1" applyAlignment="1">
      <alignment horizontal="center" vertical="center"/>
    </xf>
    <xf numFmtId="10" fontId="30" fillId="0" borderId="0" xfId="5" applyNumberFormat="1" applyFont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4" fontId="23" fillId="6" borderId="0" xfId="0" applyNumberFormat="1" applyFont="1" applyFill="1" applyAlignment="1">
      <alignment horizontal="center" vertical="center"/>
    </xf>
    <xf numFmtId="3" fontId="23" fillId="6" borderId="0" xfId="0" applyNumberFormat="1" applyFont="1" applyFill="1" applyAlignment="1">
      <alignment horizontal="left" vertical="center"/>
    </xf>
    <xf numFmtId="0" fontId="22" fillId="6" borderId="54" xfId="6" applyFont="1" applyFill="1" applyBorder="1" applyAlignment="1">
      <alignment vertical="center" wrapText="1"/>
    </xf>
    <xf numFmtId="3" fontId="22" fillId="6" borderId="54" xfId="6" applyNumberFormat="1" applyFont="1" applyFill="1" applyBorder="1" applyAlignment="1">
      <alignment vertical="center" wrapText="1"/>
    </xf>
    <xf numFmtId="0" fontId="16" fillId="0" borderId="0" xfId="6" applyFont="1" applyAlignment="1">
      <alignment vertical="center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24" fillId="6" borderId="44" xfId="0" applyFont="1" applyFill="1" applyBorder="1" applyAlignment="1">
      <alignment vertical="center"/>
    </xf>
    <xf numFmtId="1" fontId="7" fillId="2" borderId="14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" fontId="3" fillId="2" borderId="14" xfId="2" applyNumberFormat="1" applyFont="1" applyFill="1" applyBorder="1" applyAlignment="1">
      <alignment horizontal="right" vertical="center"/>
    </xf>
    <xf numFmtId="0" fontId="7" fillId="2" borderId="15" xfId="0" applyFont="1" applyFill="1" applyBorder="1" applyAlignment="1">
      <alignment vertical="center"/>
    </xf>
    <xf numFmtId="4" fontId="3" fillId="2" borderId="16" xfId="2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4" fontId="7" fillId="2" borderId="16" xfId="0" applyNumberFormat="1" applyFont="1" applyFill="1" applyBorder="1" applyAlignment="1">
      <alignment horizontal="right" vertical="center"/>
    </xf>
    <xf numFmtId="164" fontId="7" fillId="2" borderId="14" xfId="0" applyNumberFormat="1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164" fontId="7" fillId="2" borderId="16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167" fontId="7" fillId="2" borderId="14" xfId="5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vertical="center"/>
    </xf>
    <xf numFmtId="4" fontId="7" fillId="2" borderId="40" xfId="2" applyNumberFormat="1" applyFont="1" applyFill="1" applyBorder="1" applyAlignment="1">
      <alignment vertical="center"/>
    </xf>
    <xf numFmtId="0" fontId="31" fillId="6" borderId="46" xfId="0" applyFont="1" applyFill="1" applyBorder="1" applyAlignment="1">
      <alignment horizontal="center" vertical="center"/>
    </xf>
    <xf numFmtId="0" fontId="31" fillId="6" borderId="65" xfId="0" applyFont="1" applyFill="1" applyBorder="1" applyAlignment="1">
      <alignment horizontal="center" vertical="center"/>
    </xf>
    <xf numFmtId="10" fontId="32" fillId="2" borderId="0" xfId="5" applyNumberFormat="1" applyFont="1" applyFill="1" applyBorder="1" applyAlignment="1">
      <alignment horizontal="center" vertical="center"/>
    </xf>
    <xf numFmtId="164" fontId="32" fillId="2" borderId="0" xfId="0" applyNumberFormat="1" applyFont="1" applyFill="1" applyBorder="1" applyAlignment="1">
      <alignment vertical="center"/>
    </xf>
    <xf numFmtId="10" fontId="31" fillId="6" borderId="32" xfId="5" applyNumberFormat="1" applyFont="1" applyFill="1" applyBorder="1" applyAlignment="1">
      <alignment horizontal="center" vertical="center"/>
    </xf>
    <xf numFmtId="164" fontId="31" fillId="6" borderId="69" xfId="0" applyNumberFormat="1" applyFont="1" applyFill="1" applyBorder="1" applyAlignment="1">
      <alignment vertical="center"/>
    </xf>
    <xf numFmtId="0" fontId="32" fillId="2" borderId="0" xfId="0" applyFont="1" applyFill="1"/>
    <xf numFmtId="164" fontId="33" fillId="2" borderId="0" xfId="2" applyFont="1" applyFill="1" applyBorder="1" applyAlignment="1">
      <alignment vertical="center"/>
    </xf>
    <xf numFmtId="10" fontId="34" fillId="6" borderId="62" xfId="5" applyNumberFormat="1" applyFont="1" applyFill="1" applyBorder="1" applyAlignment="1">
      <alignment vertical="center"/>
    </xf>
    <xf numFmtId="164" fontId="31" fillId="6" borderId="63" xfId="2" applyFont="1" applyFill="1" applyBorder="1" applyAlignment="1">
      <alignment vertical="center"/>
    </xf>
    <xf numFmtId="0" fontId="32" fillId="2" borderId="0" xfId="0" applyFont="1" applyFill="1" applyBorder="1" applyAlignment="1">
      <alignment horizontal="left" vertical="center"/>
    </xf>
    <xf numFmtId="4" fontId="29" fillId="3" borderId="0" xfId="5" applyNumberFormat="1" applyFont="1" applyFill="1" applyAlignment="1">
      <alignment horizontal="center" vertical="center"/>
    </xf>
    <xf numFmtId="0" fontId="3" fillId="2" borderId="15" xfId="0" applyFont="1" applyFill="1" applyBorder="1" applyAlignment="1">
      <alignment horizontal="justify" vertical="center" wrapText="1"/>
    </xf>
    <xf numFmtId="0" fontId="36" fillId="0" borderId="0" xfId="0" applyFont="1" applyAlignment="1">
      <alignment vertical="center"/>
    </xf>
    <xf numFmtId="1" fontId="7" fillId="0" borderId="14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9" fontId="7" fillId="2" borderId="14" xfId="5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vertical="center"/>
    </xf>
    <xf numFmtId="0" fontId="31" fillId="6" borderId="5" xfId="0" applyFont="1" applyFill="1" applyBorder="1" applyAlignment="1">
      <alignment vertical="center"/>
    </xf>
    <xf numFmtId="0" fontId="31" fillId="6" borderId="53" xfId="0" applyFont="1" applyFill="1" applyBorder="1" applyAlignment="1">
      <alignment vertical="center"/>
    </xf>
    <xf numFmtId="4" fontId="31" fillId="6" borderId="5" xfId="0" applyNumberFormat="1" applyFont="1" applyFill="1" applyBorder="1" applyAlignment="1">
      <alignment horizontal="center" vertical="center"/>
    </xf>
    <xf numFmtId="3" fontId="31" fillId="6" borderId="5" xfId="0" applyNumberFormat="1" applyFont="1" applyFill="1" applyBorder="1" applyAlignment="1">
      <alignment horizontal="center" vertical="center"/>
    </xf>
    <xf numFmtId="9" fontId="7" fillId="2" borderId="40" xfId="5" applyFont="1" applyFill="1" applyBorder="1" applyAlignment="1">
      <alignment horizontal="center" vertical="center"/>
    </xf>
    <xf numFmtId="0" fontId="36" fillId="2" borderId="0" xfId="0" applyFont="1" applyFill="1"/>
    <xf numFmtId="0" fontId="36" fillId="0" borderId="0" xfId="0" applyFont="1"/>
    <xf numFmtId="0" fontId="36" fillId="11" borderId="0" xfId="0" applyFont="1" applyFill="1"/>
    <xf numFmtId="0" fontId="36" fillId="0" borderId="0" xfId="0" applyFont="1" applyAlignment="1" applyProtection="1">
      <alignment vertical="center"/>
      <protection hidden="1"/>
    </xf>
    <xf numFmtId="4" fontId="36" fillId="10" borderId="0" xfId="0" applyNumberFormat="1" applyFont="1" applyFill="1" applyAlignment="1" applyProtection="1">
      <alignment horizontal="center" vertical="center"/>
      <protection hidden="1"/>
    </xf>
    <xf numFmtId="0" fontId="36" fillId="10" borderId="0" xfId="0" applyFont="1" applyFill="1" applyAlignment="1" applyProtection="1">
      <alignment horizontal="center" vertical="center"/>
      <protection hidden="1"/>
    </xf>
    <xf numFmtId="3" fontId="36" fillId="10" borderId="0" xfId="0" applyNumberFormat="1" applyFont="1" applyFill="1" applyAlignment="1" applyProtection="1">
      <alignment horizontal="center" vertical="center"/>
      <protection hidden="1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3" fontId="36" fillId="11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35" fillId="6" borderId="0" xfId="0" applyFont="1" applyFill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26" fillId="6" borderId="21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left" vertical="center"/>
    </xf>
    <xf numFmtId="0" fontId="4" fillId="5" borderId="43" xfId="0" applyFont="1" applyFill="1" applyBorder="1" applyAlignment="1">
      <alignment horizontal="left" vertical="center"/>
    </xf>
    <xf numFmtId="0" fontId="31" fillId="6" borderId="4" xfId="0" applyFont="1" applyFill="1" applyBorder="1" applyAlignment="1">
      <alignment horizontal="left" vertical="center"/>
    </xf>
    <xf numFmtId="0" fontId="31" fillId="6" borderId="5" xfId="0" applyFont="1" applyFill="1" applyBorder="1" applyAlignment="1">
      <alignment horizontal="left" vertical="center"/>
    </xf>
    <xf numFmtId="0" fontId="31" fillId="6" borderId="53" xfId="0" applyFont="1" applyFill="1" applyBorder="1" applyAlignment="1">
      <alignment horizontal="left" vertical="center"/>
    </xf>
    <xf numFmtId="0" fontId="4" fillId="5" borderId="41" xfId="0" applyFont="1" applyFill="1" applyBorder="1" applyAlignment="1">
      <alignment horizontal="left" vertical="center"/>
    </xf>
    <xf numFmtId="0" fontId="4" fillId="5" borderId="42" xfId="0" applyFont="1" applyFill="1" applyBorder="1" applyAlignment="1">
      <alignment horizontal="left" vertical="center"/>
    </xf>
    <xf numFmtId="0" fontId="4" fillId="5" borderId="4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4" fillId="5" borderId="39" xfId="0" applyFont="1" applyFill="1" applyBorder="1" applyAlignment="1">
      <alignment horizontal="left" vertical="center"/>
    </xf>
    <xf numFmtId="10" fontId="4" fillId="4" borderId="9" xfId="4" applyNumberFormat="1" applyFont="1" applyFill="1" applyBorder="1" applyAlignment="1">
      <alignment horizontal="left" vertical="center"/>
    </xf>
    <xf numFmtId="10" fontId="4" fillId="4" borderId="10" xfId="4" applyNumberFormat="1" applyFont="1" applyFill="1" applyBorder="1" applyAlignment="1">
      <alignment horizontal="left" vertical="center"/>
    </xf>
    <xf numFmtId="10" fontId="4" fillId="4" borderId="18" xfId="4" applyNumberFormat="1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5" borderId="44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31" fillId="6" borderId="1" xfId="0" applyFont="1" applyFill="1" applyBorder="1" applyAlignment="1">
      <alignment horizontal="left" vertical="center"/>
    </xf>
    <xf numFmtId="0" fontId="31" fillId="6" borderId="13" xfId="0" applyFont="1" applyFill="1" applyBorder="1" applyAlignment="1">
      <alignment horizontal="left" vertical="center"/>
    </xf>
    <xf numFmtId="0" fontId="31" fillId="6" borderId="64" xfId="0" applyFont="1" applyFill="1" applyBorder="1" applyAlignment="1">
      <alignment horizontal="left" vertical="center"/>
    </xf>
    <xf numFmtId="0" fontId="4" fillId="5" borderId="47" xfId="0" applyFont="1" applyFill="1" applyBorder="1" applyAlignment="1">
      <alignment horizontal="left" vertical="center"/>
    </xf>
    <xf numFmtId="0" fontId="4" fillId="5" borderId="40" xfId="0" applyFont="1" applyFill="1" applyBorder="1" applyAlignment="1">
      <alignment horizontal="left" vertical="center"/>
    </xf>
    <xf numFmtId="0" fontId="9" fillId="5" borderId="41" xfId="0" applyFont="1" applyFill="1" applyBorder="1" applyAlignment="1">
      <alignment horizontal="left" vertical="center"/>
    </xf>
    <xf numFmtId="0" fontId="9" fillId="5" borderId="45" xfId="0" applyFont="1" applyFill="1" applyBorder="1" applyAlignment="1">
      <alignment horizontal="left" vertical="center"/>
    </xf>
    <xf numFmtId="0" fontId="31" fillId="6" borderId="66" xfId="0" applyFont="1" applyFill="1" applyBorder="1" applyAlignment="1">
      <alignment horizontal="left" vertical="center"/>
    </xf>
    <xf numFmtId="0" fontId="31" fillId="6" borderId="67" xfId="0" applyFont="1" applyFill="1" applyBorder="1" applyAlignment="1">
      <alignment horizontal="left" vertical="center"/>
    </xf>
    <xf numFmtId="0" fontId="31" fillId="6" borderId="6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4" fillId="5" borderId="51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4" fontId="7" fillId="2" borderId="70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51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" fillId="0" borderId="7" xfId="1" applyBorder="1" applyAlignment="1" applyProtection="1">
      <alignment horizontal="center" vertical="center"/>
    </xf>
    <xf numFmtId="0" fontId="11" fillId="5" borderId="49" xfId="0" applyFont="1" applyFill="1" applyBorder="1" applyAlignment="1">
      <alignment horizontal="left" vertical="center"/>
    </xf>
    <xf numFmtId="0" fontId="11" fillId="5" borderId="33" xfId="0" applyFont="1" applyFill="1" applyBorder="1" applyAlignment="1">
      <alignment horizontal="left" vertical="center"/>
    </xf>
    <xf numFmtId="0" fontId="11" fillId="5" borderId="4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4" fontId="3" fillId="2" borderId="14" xfId="2" applyNumberFormat="1" applyFont="1" applyFill="1" applyBorder="1" applyAlignment="1">
      <alignment horizontal="center" vertical="center"/>
    </xf>
    <xf numFmtId="0" fontId="11" fillId="5" borderId="4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4" fontId="11" fillId="5" borderId="12" xfId="0" applyNumberFormat="1" applyFont="1" applyFill="1" applyBorder="1" applyAlignment="1">
      <alignment horizontal="center" vertical="center"/>
    </xf>
    <xf numFmtId="4" fontId="11" fillId="5" borderId="39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10" fillId="0" borderId="38" xfId="0" applyFont="1" applyBorder="1" applyAlignment="1">
      <alignment horizontal="justify" vertical="center" wrapText="1"/>
    </xf>
    <xf numFmtId="0" fontId="10" fillId="0" borderId="22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justify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24" fillId="6" borderId="41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23" fillId="6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16" fillId="0" borderId="54" xfId="6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16" fillId="0" borderId="55" xfId="6" applyNumberFormat="1" applyFont="1" applyFill="1" applyBorder="1" applyAlignment="1">
      <alignment horizontal="center" vertical="center"/>
    </xf>
    <xf numFmtId="3" fontId="16" fillId="0" borderId="56" xfId="6" applyNumberFormat="1" applyFont="1" applyFill="1" applyBorder="1" applyAlignment="1">
      <alignment horizontal="center" vertical="center"/>
    </xf>
    <xf numFmtId="3" fontId="16" fillId="0" borderId="57" xfId="6" applyNumberFormat="1" applyFont="1" applyFill="1" applyBorder="1" applyAlignment="1">
      <alignment horizontal="center" vertical="center"/>
    </xf>
    <xf numFmtId="0" fontId="23" fillId="6" borderId="59" xfId="7" applyFont="1" applyFill="1" applyBorder="1" applyAlignment="1">
      <alignment horizontal="center" vertical="center"/>
    </xf>
    <xf numFmtId="0" fontId="23" fillId="6" borderId="60" xfId="7" applyFont="1" applyFill="1" applyBorder="1" applyAlignment="1">
      <alignment horizontal="center" vertical="center"/>
    </xf>
    <xf numFmtId="0" fontId="23" fillId="6" borderId="61" xfId="7" applyFont="1" applyFill="1" applyBorder="1" applyAlignment="1">
      <alignment horizontal="center" vertical="center"/>
    </xf>
    <xf numFmtId="3" fontId="9" fillId="0" borderId="55" xfId="6" applyNumberFormat="1" applyFont="1" applyFill="1" applyBorder="1" applyAlignment="1">
      <alignment horizontal="left" vertical="center"/>
    </xf>
    <xf numFmtId="3" fontId="9" fillId="0" borderId="57" xfId="6" applyNumberFormat="1" applyFont="1" applyFill="1" applyBorder="1" applyAlignment="1">
      <alignment horizontal="left" vertical="center"/>
    </xf>
    <xf numFmtId="0" fontId="16" fillId="0" borderId="54" xfId="6" applyFont="1" applyFill="1" applyBorder="1" applyAlignment="1">
      <alignment horizontal="left" vertical="center"/>
    </xf>
    <xf numFmtId="0" fontId="22" fillId="6" borderId="0" xfId="6" applyFont="1" applyFill="1" applyAlignment="1">
      <alignment horizontal="center" vertical="center"/>
    </xf>
    <xf numFmtId="49" fontId="20" fillId="10" borderId="3" xfId="0" applyNumberFormat="1" applyFont="1" applyFill="1" applyBorder="1" applyAlignment="1" applyProtection="1">
      <alignment horizontal="center" vertical="center"/>
      <protection locked="0"/>
    </xf>
    <xf numFmtId="49" fontId="20" fillId="10" borderId="0" xfId="0" applyNumberFormat="1" applyFont="1" applyFill="1" applyBorder="1" applyAlignment="1" applyProtection="1">
      <alignment horizontal="center" vertical="center"/>
      <protection locked="0"/>
    </xf>
    <xf numFmtId="49" fontId="20" fillId="10" borderId="20" xfId="0" applyNumberFormat="1" applyFont="1" applyFill="1" applyBorder="1" applyAlignment="1" applyProtection="1">
      <alignment horizontal="center" vertical="center"/>
      <protection locked="0"/>
    </xf>
    <xf numFmtId="0" fontId="27" fillId="10" borderId="0" xfId="0" applyFont="1" applyFill="1" applyBorder="1" applyAlignment="1" applyProtection="1">
      <alignment horizontal="center" vertical="center"/>
      <protection locked="0"/>
    </xf>
  </cellXfs>
  <cellStyles count="9">
    <cellStyle name="Hiperlink" xfId="1" builtinId="8"/>
    <cellStyle name="Moeda 2" xfId="3" xr:uid="{00000000-0005-0000-0000-000001000000}"/>
    <cellStyle name="Normal" xfId="0" builtinId="0"/>
    <cellStyle name="Normal 3" xfId="7" xr:uid="{00000000-0005-0000-0000-000003000000}"/>
    <cellStyle name="Normal 4" xfId="6" xr:uid="{00000000-0005-0000-0000-000004000000}"/>
    <cellStyle name="Porcentagem" xfId="5" builtinId="5"/>
    <cellStyle name="Porcentagem 2" xfId="4" xr:uid="{00000000-0005-0000-0000-000006000000}"/>
    <cellStyle name="Porcentagem 3" xfId="8" xr:uid="{00000000-0005-0000-0000-000007000000}"/>
    <cellStyle name="Separador de milhares 2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alculador.com.br/calculo/financiamento-pric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workbookViewId="0">
      <selection activeCell="B5" sqref="B5:I5"/>
    </sheetView>
  </sheetViews>
  <sheetFormatPr defaultRowHeight="14.4" x14ac:dyDescent="0.3"/>
  <cols>
    <col min="1" max="10" width="9.109375" style="195"/>
  </cols>
  <sheetData>
    <row r="1" spans="1:10" ht="15" thickBot="1" x14ac:dyDescent="0.35">
      <c r="A1" s="194"/>
      <c r="B1" s="194"/>
      <c r="C1" s="194"/>
      <c r="D1" s="194"/>
      <c r="E1" s="194"/>
      <c r="F1" s="194"/>
      <c r="G1" s="194"/>
      <c r="H1" s="194"/>
      <c r="I1" s="194"/>
    </row>
    <row r="2" spans="1:10" ht="24.9" customHeight="1" x14ac:dyDescent="0.3">
      <c r="A2" s="196"/>
      <c r="B2" s="197"/>
      <c r="C2" s="197"/>
      <c r="D2" s="197"/>
      <c r="E2" s="197"/>
      <c r="F2" s="197"/>
      <c r="G2" s="197"/>
      <c r="H2" s="197"/>
      <c r="I2" s="197"/>
      <c r="J2" s="198"/>
    </row>
    <row r="3" spans="1:10" ht="24.9" customHeight="1" x14ac:dyDescent="0.3">
      <c r="A3" s="199"/>
      <c r="B3" s="200"/>
      <c r="C3" s="200"/>
      <c r="D3" s="200"/>
      <c r="E3" s="200"/>
      <c r="F3" s="200"/>
      <c r="G3" s="200"/>
      <c r="H3" s="200"/>
      <c r="I3" s="200"/>
      <c r="J3" s="201"/>
    </row>
    <row r="4" spans="1:10" ht="24.9" customHeight="1" x14ac:dyDescent="0.3">
      <c r="A4" s="199"/>
      <c r="B4" s="200"/>
      <c r="C4" s="200"/>
      <c r="D4" s="200"/>
      <c r="E4" s="200"/>
      <c r="F4" s="200"/>
      <c r="G4" s="200"/>
      <c r="H4" s="200"/>
      <c r="I4" s="200"/>
      <c r="J4" s="201"/>
    </row>
    <row r="5" spans="1:10" ht="24.9" customHeight="1" x14ac:dyDescent="0.3">
      <c r="A5" s="199"/>
      <c r="B5" s="337" t="s">
        <v>268</v>
      </c>
      <c r="C5" s="337"/>
      <c r="D5" s="337"/>
      <c r="E5" s="337"/>
      <c r="F5" s="337"/>
      <c r="G5" s="337"/>
      <c r="H5" s="337"/>
      <c r="I5" s="337"/>
      <c r="J5" s="201"/>
    </row>
    <row r="6" spans="1:10" ht="24.9" customHeight="1" x14ac:dyDescent="0.3">
      <c r="A6" s="199"/>
      <c r="B6" s="200"/>
      <c r="C6" s="200"/>
      <c r="D6" s="200"/>
      <c r="E6" s="200"/>
      <c r="F6" s="200"/>
      <c r="G6" s="200"/>
      <c r="H6" s="200"/>
      <c r="I6" s="200"/>
      <c r="J6" s="201"/>
    </row>
    <row r="7" spans="1:10" ht="24.9" customHeight="1" x14ac:dyDescent="0.3">
      <c r="A7" s="199"/>
      <c r="B7" s="200"/>
      <c r="C7" s="200"/>
      <c r="D7" s="200"/>
      <c r="E7" s="200"/>
      <c r="F7" s="200"/>
      <c r="G7" s="200"/>
      <c r="H7" s="200"/>
      <c r="I7" s="200"/>
      <c r="J7" s="201"/>
    </row>
    <row r="8" spans="1:10" ht="24.9" customHeight="1" x14ac:dyDescent="0.3">
      <c r="A8" s="199"/>
      <c r="B8" s="200"/>
      <c r="C8" s="200"/>
      <c r="D8" s="200"/>
      <c r="E8" s="200"/>
      <c r="F8" s="200"/>
      <c r="G8" s="200"/>
      <c r="H8" s="200"/>
      <c r="I8" s="200"/>
      <c r="J8" s="201"/>
    </row>
    <row r="9" spans="1:10" ht="24.9" customHeight="1" x14ac:dyDescent="0.3">
      <c r="A9" s="199"/>
      <c r="B9" s="200"/>
      <c r="C9" s="200"/>
      <c r="D9" s="200"/>
      <c r="E9" s="200"/>
      <c r="F9" s="200"/>
      <c r="G9" s="200"/>
      <c r="H9" s="200"/>
      <c r="I9" s="200"/>
      <c r="J9" s="201"/>
    </row>
    <row r="10" spans="1:10" ht="24.9" customHeight="1" x14ac:dyDescent="0.3">
      <c r="A10" s="199"/>
      <c r="B10" s="200"/>
      <c r="C10" s="200"/>
      <c r="D10" s="200"/>
      <c r="E10" s="200"/>
      <c r="F10" s="200"/>
      <c r="G10" s="200"/>
      <c r="H10" s="200"/>
      <c r="I10" s="200"/>
      <c r="J10" s="201"/>
    </row>
    <row r="11" spans="1:10" ht="24.9" customHeight="1" x14ac:dyDescent="0.3">
      <c r="A11" s="199"/>
      <c r="B11" s="200"/>
      <c r="C11" s="200"/>
      <c r="D11" s="200"/>
      <c r="E11" s="200"/>
      <c r="F11" s="200"/>
      <c r="G11" s="200"/>
      <c r="H11" s="200"/>
      <c r="I11" s="200"/>
      <c r="J11" s="201"/>
    </row>
    <row r="12" spans="1:10" ht="24.9" customHeight="1" x14ac:dyDescent="0.3">
      <c r="A12" s="199"/>
      <c r="B12" s="200"/>
      <c r="C12" s="200"/>
      <c r="D12" s="200"/>
      <c r="E12" s="200"/>
      <c r="F12" s="200"/>
      <c r="G12" s="200"/>
      <c r="H12" s="200"/>
      <c r="I12" s="200"/>
      <c r="J12" s="201"/>
    </row>
    <row r="13" spans="1:10" ht="24.9" customHeight="1" x14ac:dyDescent="0.3">
      <c r="A13" s="199"/>
      <c r="B13" s="208" t="s">
        <v>267</v>
      </c>
      <c r="C13" s="209"/>
      <c r="D13" s="209"/>
      <c r="E13" s="209"/>
      <c r="F13" s="209"/>
      <c r="G13" s="209"/>
      <c r="H13" s="209"/>
      <c r="I13" s="209"/>
      <c r="J13" s="201"/>
    </row>
    <row r="14" spans="1:10" ht="20.100000000000001" customHeight="1" x14ac:dyDescent="0.3">
      <c r="A14" s="202"/>
      <c r="B14" s="209"/>
      <c r="C14" s="209"/>
      <c r="D14" s="209"/>
      <c r="E14" s="209"/>
      <c r="F14" s="209"/>
      <c r="G14" s="209"/>
      <c r="H14" s="209"/>
      <c r="I14" s="209"/>
      <c r="J14" s="203"/>
    </row>
    <row r="15" spans="1:10" ht="20.100000000000001" customHeight="1" x14ac:dyDescent="0.3">
      <c r="A15" s="204"/>
      <c r="B15" s="209"/>
      <c r="C15" s="209"/>
      <c r="D15" s="209"/>
      <c r="E15" s="209"/>
      <c r="F15" s="209"/>
      <c r="G15" s="209"/>
      <c r="H15" s="209"/>
      <c r="I15" s="209"/>
      <c r="J15" s="203"/>
    </row>
    <row r="16" spans="1:10" ht="24.9" customHeight="1" x14ac:dyDescent="0.3">
      <c r="A16" s="199"/>
      <c r="B16" s="209"/>
      <c r="C16" s="209"/>
      <c r="D16" s="209"/>
      <c r="E16" s="209"/>
      <c r="F16" s="209"/>
      <c r="G16" s="209"/>
      <c r="H16" s="209"/>
      <c r="I16" s="209"/>
      <c r="J16" s="201"/>
    </row>
    <row r="17" spans="1:10" ht="24.9" customHeight="1" x14ac:dyDescent="0.3">
      <c r="A17" s="199"/>
      <c r="B17" s="209"/>
      <c r="C17" s="209"/>
      <c r="D17" s="209"/>
      <c r="E17" s="209"/>
      <c r="F17" s="209"/>
      <c r="G17" s="209"/>
      <c r="H17" s="209"/>
      <c r="I17" s="209"/>
      <c r="J17" s="201"/>
    </row>
    <row r="18" spans="1:10" ht="24.9" customHeight="1" x14ac:dyDescent="0.3">
      <c r="A18" s="199"/>
      <c r="B18" s="209"/>
      <c r="C18" s="209"/>
      <c r="D18" s="209"/>
      <c r="E18" s="209"/>
      <c r="F18" s="209"/>
      <c r="G18" s="209"/>
      <c r="H18" s="209"/>
      <c r="I18" s="209"/>
      <c r="J18" s="201"/>
    </row>
    <row r="19" spans="1:10" ht="24.9" customHeight="1" x14ac:dyDescent="0.3">
      <c r="A19" s="199"/>
      <c r="B19" s="200"/>
      <c r="C19" s="200"/>
      <c r="D19" s="200"/>
      <c r="E19" s="200"/>
      <c r="F19" s="200"/>
      <c r="G19" s="200"/>
      <c r="H19" s="200"/>
      <c r="I19" s="200"/>
      <c r="J19" s="201"/>
    </row>
    <row r="20" spans="1:10" ht="24.9" customHeight="1" x14ac:dyDescent="0.3">
      <c r="A20" s="199"/>
      <c r="B20" s="200"/>
      <c r="C20" s="200"/>
      <c r="D20" s="200"/>
      <c r="E20" s="200"/>
      <c r="F20" s="200"/>
      <c r="G20" s="200"/>
      <c r="H20" s="200"/>
      <c r="I20" s="200"/>
      <c r="J20" s="201"/>
    </row>
    <row r="21" spans="1:10" ht="24.9" customHeight="1" x14ac:dyDescent="0.3">
      <c r="A21" s="199"/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24.9" customHeight="1" x14ac:dyDescent="0.3">
      <c r="A22" s="199"/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24.9" customHeight="1" x14ac:dyDescent="0.3">
      <c r="A23" s="199"/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24.9" customHeight="1" x14ac:dyDescent="0.3">
      <c r="A24" s="199"/>
      <c r="B24" s="200"/>
      <c r="C24" s="200"/>
      <c r="D24" s="200"/>
      <c r="E24" s="200"/>
      <c r="F24" s="200"/>
      <c r="G24" s="200"/>
      <c r="H24" s="200"/>
      <c r="I24" s="200"/>
      <c r="J24" s="201"/>
    </row>
    <row r="25" spans="1:10" ht="24.9" customHeight="1" x14ac:dyDescent="0.3">
      <c r="A25" s="199"/>
      <c r="B25" s="200"/>
      <c r="C25" s="200"/>
      <c r="D25" s="200"/>
      <c r="E25" s="200"/>
      <c r="F25" s="200"/>
      <c r="G25" s="200"/>
      <c r="H25" s="200"/>
      <c r="I25" s="200"/>
      <c r="J25" s="201"/>
    </row>
    <row r="26" spans="1:10" ht="24.9" customHeight="1" x14ac:dyDescent="0.3">
      <c r="A26" s="199"/>
      <c r="B26" s="200"/>
      <c r="C26" s="200"/>
      <c r="D26" s="200"/>
      <c r="E26" s="200"/>
      <c r="F26" s="200"/>
      <c r="G26" s="200"/>
      <c r="H26" s="200"/>
      <c r="I26" s="200"/>
      <c r="J26" s="201"/>
    </row>
    <row r="27" spans="1:10" ht="24.9" customHeight="1" x14ac:dyDescent="0.3">
      <c r="A27" s="334" t="s">
        <v>303</v>
      </c>
      <c r="B27" s="335"/>
      <c r="C27" s="335"/>
      <c r="D27" s="335"/>
      <c r="E27" s="335"/>
      <c r="F27" s="335"/>
      <c r="G27" s="335"/>
      <c r="H27" s="335"/>
      <c r="I27" s="335"/>
      <c r="J27" s="336"/>
    </row>
    <row r="28" spans="1:10" ht="24.9" customHeight="1" x14ac:dyDescent="0.3">
      <c r="A28" s="199"/>
      <c r="B28" s="200"/>
      <c r="C28" s="200"/>
      <c r="D28" s="200"/>
      <c r="E28" s="200"/>
      <c r="F28" s="200"/>
      <c r="G28" s="200"/>
      <c r="H28" s="200"/>
      <c r="I28" s="200"/>
      <c r="J28" s="201"/>
    </row>
    <row r="29" spans="1:10" ht="24.9" customHeight="1" thickBot="1" x14ac:dyDescent="0.35">
      <c r="A29" s="205"/>
      <c r="B29" s="206"/>
      <c r="C29" s="206"/>
      <c r="D29" s="206"/>
      <c r="E29" s="206"/>
      <c r="F29" s="206"/>
      <c r="G29" s="206"/>
      <c r="H29" s="206"/>
      <c r="I29" s="206"/>
      <c r="J29" s="207"/>
    </row>
  </sheetData>
  <mergeCells count="3">
    <mergeCell ref="A27:J27"/>
    <mergeCell ref="B13:I18"/>
    <mergeCell ref="B5:I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AD9A-D7FE-46DB-BD62-E2344932C1CB}">
  <dimension ref="A1:D24"/>
  <sheetViews>
    <sheetView zoomScaleNormal="100" workbookViewId="0">
      <selection activeCell="C8" sqref="C8"/>
    </sheetView>
  </sheetViews>
  <sheetFormatPr defaultColWidth="9.109375" defaultRowHeight="15" x14ac:dyDescent="0.25"/>
  <cols>
    <col min="1" max="1" width="6" style="185" customWidth="1"/>
    <col min="2" max="2" width="53.6640625" style="185" customWidth="1"/>
    <col min="3" max="3" width="14.44140625" style="185" bestFit="1" customWidth="1"/>
    <col min="4" max="4" width="25.5546875" style="185" customWidth="1"/>
    <col min="5" max="16384" width="9.109375" style="185"/>
  </cols>
  <sheetData>
    <row r="1" spans="1:4" s="184" customFormat="1" ht="39.9" customHeight="1" thickBot="1" x14ac:dyDescent="0.3">
      <c r="A1" s="210" t="s">
        <v>242</v>
      </c>
      <c r="B1" s="211"/>
      <c r="C1" s="211"/>
      <c r="D1" s="212"/>
    </row>
    <row r="2" spans="1:4" ht="20.100000000000001" customHeight="1" x14ac:dyDescent="0.25">
      <c r="A2" s="191"/>
      <c r="B2" s="191"/>
      <c r="C2" s="191"/>
      <c r="D2" s="191"/>
    </row>
    <row r="3" spans="1:4" ht="21.75" customHeight="1" x14ac:dyDescent="0.25">
      <c r="A3" s="191"/>
      <c r="B3" s="213" t="s">
        <v>243</v>
      </c>
      <c r="C3" s="213"/>
      <c r="D3" s="213"/>
    </row>
    <row r="4" spans="1:4" ht="20.100000000000001" customHeight="1" x14ac:dyDescent="0.25">
      <c r="A4" s="191"/>
      <c r="B4" s="191"/>
      <c r="C4" s="191"/>
      <c r="D4" s="191"/>
    </row>
    <row r="5" spans="1:4" ht="20.100000000000001" customHeight="1" x14ac:dyDescent="0.25">
      <c r="A5" s="191"/>
      <c r="B5" s="192" t="s">
        <v>292</v>
      </c>
      <c r="C5" s="193">
        <v>3.5</v>
      </c>
      <c r="D5" s="192" t="s">
        <v>293</v>
      </c>
    </row>
    <row r="6" spans="1:4" ht="20.100000000000001" customHeight="1" x14ac:dyDescent="0.25">
      <c r="A6" s="191"/>
      <c r="B6" s="191"/>
      <c r="C6" s="191"/>
      <c r="D6" s="191"/>
    </row>
    <row r="7" spans="1:4" ht="20.100000000000001" customHeight="1" x14ac:dyDescent="0.25">
      <c r="A7" s="191"/>
      <c r="B7" s="192" t="s">
        <v>244</v>
      </c>
      <c r="C7" s="193">
        <v>2000</v>
      </c>
      <c r="D7" s="192" t="s">
        <v>245</v>
      </c>
    </row>
    <row r="8" spans="1:4" ht="20.100000000000001" customHeight="1" x14ac:dyDescent="0.25">
      <c r="B8" s="187" t="s">
        <v>246</v>
      </c>
      <c r="C8" s="188">
        <f>C9*3.6*24*30</f>
        <v>14100.480000000003</v>
      </c>
      <c r="D8" s="187" t="s">
        <v>281</v>
      </c>
    </row>
    <row r="9" spans="1:4" ht="20.100000000000001" customHeight="1" x14ac:dyDescent="0.25">
      <c r="B9" s="187" t="s">
        <v>246</v>
      </c>
      <c r="C9" s="189">
        <f>C10+C11</f>
        <v>5.44</v>
      </c>
      <c r="D9" s="187" t="s">
        <v>247</v>
      </c>
    </row>
    <row r="10" spans="1:4" ht="20.100000000000001" customHeight="1" x14ac:dyDescent="0.25">
      <c r="B10" s="187" t="s">
        <v>248</v>
      </c>
      <c r="C10" s="189">
        <f>ROUND(((C12*C13*C7*C14)/86400),2)</f>
        <v>4.4400000000000004</v>
      </c>
      <c r="D10" s="187" t="s">
        <v>247</v>
      </c>
    </row>
    <row r="11" spans="1:4" ht="20.100000000000001" customHeight="1" x14ac:dyDescent="0.25">
      <c r="B11" s="187" t="s">
        <v>249</v>
      </c>
      <c r="C11" s="189">
        <f>C17*C20</f>
        <v>1</v>
      </c>
      <c r="D11" s="187" t="s">
        <v>247</v>
      </c>
    </row>
    <row r="12" spans="1:4" s="173" customFormat="1" ht="20.100000000000001" customHeight="1" x14ac:dyDescent="0.3">
      <c r="B12" s="187" t="s">
        <v>250</v>
      </c>
      <c r="C12" s="189">
        <v>200</v>
      </c>
      <c r="D12" s="187" t="s">
        <v>251</v>
      </c>
    </row>
    <row r="13" spans="1:4" s="173" customFormat="1" ht="20.100000000000001" customHeight="1" x14ac:dyDescent="0.3">
      <c r="B13" s="187" t="s">
        <v>252</v>
      </c>
      <c r="C13" s="189">
        <v>0.8</v>
      </c>
      <c r="D13" s="187"/>
    </row>
    <row r="14" spans="1:4" s="173" customFormat="1" ht="20.100000000000001" customHeight="1" x14ac:dyDescent="0.3">
      <c r="B14" s="187" t="s">
        <v>253</v>
      </c>
      <c r="C14" s="189">
        <v>1.2</v>
      </c>
      <c r="D14" s="187"/>
    </row>
    <row r="15" spans="1:4" s="173" customFormat="1" ht="20.100000000000001" customHeight="1" x14ac:dyDescent="0.3">
      <c r="B15" s="187" t="s">
        <v>254</v>
      </c>
      <c r="C15" s="189">
        <v>1.5</v>
      </c>
      <c r="D15" s="187"/>
    </row>
    <row r="16" spans="1:4" s="173" customFormat="1" ht="20.100000000000001" customHeight="1" x14ac:dyDescent="0.3">
      <c r="B16" s="187" t="s">
        <v>255</v>
      </c>
      <c r="C16" s="190">
        <f>ROUND((C7/C19),0)</f>
        <v>500</v>
      </c>
      <c r="D16" s="187" t="s">
        <v>21</v>
      </c>
    </row>
    <row r="17" spans="2:4" s="173" customFormat="1" ht="20.100000000000001" customHeight="1" x14ac:dyDescent="0.3">
      <c r="B17" s="187" t="s">
        <v>256</v>
      </c>
      <c r="C17" s="190">
        <f>C16*C18</f>
        <v>5000</v>
      </c>
      <c r="D17" s="187" t="s">
        <v>302</v>
      </c>
    </row>
    <row r="18" spans="2:4" s="173" customFormat="1" ht="20.100000000000001" customHeight="1" x14ac:dyDescent="0.3">
      <c r="B18" s="187" t="s">
        <v>257</v>
      </c>
      <c r="C18" s="189">
        <v>10</v>
      </c>
      <c r="D18" s="187" t="s">
        <v>258</v>
      </c>
    </row>
    <row r="19" spans="2:4" s="173" customFormat="1" ht="20.100000000000001" customHeight="1" x14ac:dyDescent="0.3">
      <c r="B19" s="187" t="s">
        <v>259</v>
      </c>
      <c r="C19" s="189">
        <v>4</v>
      </c>
      <c r="D19" s="187" t="s">
        <v>260</v>
      </c>
    </row>
    <row r="20" spans="2:4" s="173" customFormat="1" ht="20.100000000000001" customHeight="1" x14ac:dyDescent="0.3">
      <c r="B20" s="187" t="s">
        <v>261</v>
      </c>
      <c r="C20" s="189">
        <v>2.0000000000000001E-4</v>
      </c>
      <c r="D20" s="187" t="s">
        <v>262</v>
      </c>
    </row>
    <row r="21" spans="2:4" s="173" customFormat="1" ht="20.100000000000001" customHeight="1" x14ac:dyDescent="0.3"/>
    <row r="22" spans="2:4" ht="20.100000000000001" customHeight="1" x14ac:dyDescent="0.25">
      <c r="C22" s="186"/>
      <c r="D22" s="173" t="s">
        <v>301</v>
      </c>
    </row>
    <row r="23" spans="2:4" ht="20.100000000000001" customHeight="1" x14ac:dyDescent="0.25"/>
    <row r="24" spans="2:4" ht="20.100000000000001" customHeight="1" x14ac:dyDescent="0.25"/>
  </sheetData>
  <sheetProtection algorithmName="SHA-512" hashValue="Yd+oAkbRpSBUY1edyTsTOx1KBRngd8Ue+gFR74Ina2q34CroHzRfik1FZ2Bca3PT7SrO5lHSPsc/J2TZ7vsc2g==" saltValue="G7VDzKPHAfE1fpAeOm7V2Q==" spinCount="100000" sheet="1" objects="1" scenarios="1"/>
  <protectedRanges>
    <protectedRange algorithmName="SHA-512" hashValue="W/jE/MmSauGDa8ennlZDhUgzZN9iQVE5l+hj39lvaXK/9Aq0QJh11HscScmDTW8M/trzrPZhVMYNIWW/Oa2Jfg==" saltValue="Ks7jGE9wk+s3+uKiWfUyhg==" spinCount="100000" sqref="C8:C20" name="Intervalo1"/>
  </protectedRanges>
  <mergeCells count="2">
    <mergeCell ref="A1:D1"/>
    <mergeCell ref="B3:D3"/>
  </mergeCells>
  <pageMargins left="0.511811024" right="0.511811024" top="0.78740157499999996" bottom="0.78740157499999996" header="0.31496062000000002" footer="0.31496062000000002"/>
  <pageSetup paperSize="9" scale="9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4"/>
  <sheetViews>
    <sheetView tabSelected="1" zoomScale="113" zoomScaleNormal="100" workbookViewId="0">
      <selection activeCell="J7" sqref="J7"/>
    </sheetView>
  </sheetViews>
  <sheetFormatPr defaultColWidth="9.109375" defaultRowHeight="12" x14ac:dyDescent="0.25"/>
  <cols>
    <col min="1" max="1" width="30.5546875" style="1" customWidth="1"/>
    <col min="2" max="2" width="14.88671875" style="1" customWidth="1"/>
    <col min="3" max="3" width="11.109375" style="1" customWidth="1"/>
    <col min="4" max="4" width="10.5546875" style="1" customWidth="1"/>
    <col min="5" max="5" width="7.109375" style="1" bestFit="1" customWidth="1"/>
    <col min="6" max="6" width="11.109375" style="1" bestFit="1" customWidth="1"/>
    <col min="7" max="7" width="12.6640625" style="1" bestFit="1" customWidth="1"/>
    <col min="8" max="8" width="11.109375" style="1" bestFit="1" customWidth="1"/>
    <col min="9" max="16384" width="9.109375" style="1"/>
  </cols>
  <sheetData>
    <row r="1" spans="1:7" customFormat="1" ht="15" customHeight="1" x14ac:dyDescent="0.3">
      <c r="A1" s="214" t="str">
        <f>Capa!B5</f>
        <v>Nome do município</v>
      </c>
      <c r="B1" s="215"/>
      <c r="C1" s="215"/>
      <c r="D1" s="215"/>
      <c r="E1" s="215"/>
      <c r="F1" s="215"/>
      <c r="G1" s="216"/>
    </row>
    <row r="2" spans="1:7" customFormat="1" ht="15" customHeight="1" x14ac:dyDescent="0.3">
      <c r="A2" s="217"/>
      <c r="B2" s="218"/>
      <c r="C2" s="218"/>
      <c r="D2" s="218"/>
      <c r="E2" s="218"/>
      <c r="F2" s="218"/>
      <c r="G2" s="219"/>
    </row>
    <row r="3" spans="1:7" customFormat="1" ht="15.75" customHeight="1" thickBot="1" x14ac:dyDescent="0.35">
      <c r="A3" s="220"/>
      <c r="B3" s="221"/>
      <c r="C3" s="221"/>
      <c r="D3" s="221"/>
      <c r="E3" s="221"/>
      <c r="F3" s="221"/>
      <c r="G3" s="222"/>
    </row>
    <row r="4" spans="1:7" ht="20.100000000000001" customHeight="1" thickBot="1" x14ac:dyDescent="0.3">
      <c r="A4" s="2"/>
      <c r="B4" s="2"/>
      <c r="C4" s="2"/>
      <c r="D4" s="2"/>
      <c r="E4" s="2"/>
      <c r="F4" s="2"/>
      <c r="G4" s="2"/>
    </row>
    <row r="5" spans="1:7" s="3" customFormat="1" ht="20.100000000000001" customHeight="1" thickBot="1" x14ac:dyDescent="0.35">
      <c r="A5" s="223" t="str">
        <f>Capa!B13</f>
        <v>Custos operacionais de um sistema de esgotamento sanitário</v>
      </c>
      <c r="B5" s="224"/>
      <c r="C5" s="224"/>
      <c r="D5" s="224"/>
      <c r="E5" s="224"/>
      <c r="F5" s="224"/>
      <c r="G5" s="225"/>
    </row>
    <row r="6" spans="1:7" s="3" customFormat="1" ht="20.100000000000001" customHeight="1" thickBot="1" x14ac:dyDescent="0.35">
      <c r="A6" s="4"/>
      <c r="B6" s="4"/>
      <c r="C6" s="4"/>
      <c r="D6" s="4"/>
      <c r="E6" s="4"/>
      <c r="F6" s="4"/>
      <c r="G6" s="4"/>
    </row>
    <row r="7" spans="1:7" s="7" customFormat="1" ht="20.100000000000001" customHeight="1" x14ac:dyDescent="0.3">
      <c r="A7" s="226" t="s">
        <v>224</v>
      </c>
      <c r="B7" s="227"/>
      <c r="C7" s="227"/>
      <c r="D7" s="92" t="s">
        <v>232</v>
      </c>
      <c r="E7" s="92" t="s">
        <v>4</v>
      </c>
      <c r="F7" s="92" t="s">
        <v>36</v>
      </c>
      <c r="G7" s="93" t="s">
        <v>51</v>
      </c>
    </row>
    <row r="8" spans="1:7" s="3" customFormat="1" ht="19.2" customHeight="1" x14ac:dyDescent="0.3">
      <c r="A8" s="236" t="s">
        <v>272</v>
      </c>
      <c r="B8" s="237"/>
      <c r="C8" s="238"/>
      <c r="D8" s="27">
        <v>1</v>
      </c>
      <c r="E8" s="153">
        <v>0.01</v>
      </c>
      <c r="F8" s="142">
        <f>Investimentos!I13</f>
        <v>33032.584007088299</v>
      </c>
      <c r="G8" s="28">
        <f>(E8*F8*Investimentos!G8/'Custos de operação'!D8)/Investimentos!G8</f>
        <v>330.32584007088298</v>
      </c>
    </row>
    <row r="9" spans="1:7" s="3" customFormat="1" ht="19.2" customHeight="1" thickBot="1" x14ac:dyDescent="0.35">
      <c r="A9" s="239" t="s">
        <v>273</v>
      </c>
      <c r="B9" s="240"/>
      <c r="C9" s="241"/>
      <c r="D9" s="29" t="s">
        <v>231</v>
      </c>
      <c r="E9" s="37">
        <v>1.4999999999999999E-2</v>
      </c>
      <c r="F9" s="152">
        <f>Investimentos!I10+Investimentos!I11+Investimentos!I12</f>
        <v>97776.448660981361</v>
      </c>
      <c r="G9" s="31">
        <f>F9*E9</f>
        <v>1466.6467299147203</v>
      </c>
    </row>
    <row r="10" spans="1:7" ht="20.100000000000001" customHeight="1" thickBot="1" x14ac:dyDescent="0.3">
      <c r="A10" s="2"/>
      <c r="B10" s="2"/>
      <c r="C10" s="2"/>
      <c r="D10" s="2"/>
      <c r="E10" s="2"/>
      <c r="F10" s="2"/>
      <c r="G10" s="2"/>
    </row>
    <row r="11" spans="1:7" s="3" customFormat="1" ht="20.100000000000001" customHeight="1" x14ac:dyDescent="0.3">
      <c r="A11" s="226" t="s">
        <v>284</v>
      </c>
      <c r="B11" s="227"/>
      <c r="C11" s="227"/>
      <c r="D11" s="92" t="s">
        <v>232</v>
      </c>
      <c r="E11" s="92" t="s">
        <v>48</v>
      </c>
      <c r="F11" s="92" t="s">
        <v>36</v>
      </c>
      <c r="G11" s="93" t="s">
        <v>51</v>
      </c>
    </row>
    <row r="12" spans="1:7" s="3" customFormat="1" ht="19.2" customHeight="1" thickBot="1" x14ac:dyDescent="0.35">
      <c r="A12" s="239" t="s">
        <v>283</v>
      </c>
      <c r="B12" s="240"/>
      <c r="C12" s="241"/>
      <c r="D12" s="29" t="s">
        <v>6</v>
      </c>
      <c r="E12" s="37">
        <v>0.02</v>
      </c>
      <c r="F12" s="30">
        <f>Investimentos!I9</f>
        <v>0.11561404402480904</v>
      </c>
      <c r="G12" s="31">
        <f>E12*F12</f>
        <v>2.3122808804961811E-3</v>
      </c>
    </row>
    <row r="13" spans="1:7" ht="20.100000000000001" customHeight="1" thickBot="1" x14ac:dyDescent="0.3">
      <c r="A13" s="2"/>
      <c r="B13" s="2"/>
      <c r="C13" s="2"/>
      <c r="D13" s="2"/>
      <c r="E13" s="2"/>
      <c r="F13" s="2"/>
      <c r="G13" s="2"/>
    </row>
    <row r="14" spans="1:7" ht="20.100000000000001" customHeight="1" x14ac:dyDescent="0.25">
      <c r="A14" s="226" t="s">
        <v>274</v>
      </c>
      <c r="B14" s="227"/>
      <c r="C14" s="227"/>
      <c r="D14" s="92" t="s">
        <v>232</v>
      </c>
      <c r="E14" s="92" t="s">
        <v>4</v>
      </c>
      <c r="F14" s="92" t="s">
        <v>36</v>
      </c>
      <c r="G14" s="93" t="s">
        <v>51</v>
      </c>
    </row>
    <row r="15" spans="1:7" ht="19.2" customHeight="1" thickBot="1" x14ac:dyDescent="0.3">
      <c r="A15" s="242" t="s">
        <v>300</v>
      </c>
      <c r="B15" s="243"/>
      <c r="C15" s="243"/>
      <c r="D15" s="29" t="s">
        <v>6</v>
      </c>
      <c r="E15" s="183">
        <v>1</v>
      </c>
      <c r="F15" s="159">
        <f>Investimentos!G14</f>
        <v>10900.762356842806</v>
      </c>
      <c r="G15" s="31">
        <f>E15*F15</f>
        <v>10900.762356842806</v>
      </c>
    </row>
    <row r="16" spans="1:7" ht="20.100000000000001" customHeight="1" thickBot="1" x14ac:dyDescent="0.3">
      <c r="A16" s="2"/>
      <c r="B16" s="2"/>
      <c r="C16" s="2"/>
      <c r="D16" s="2"/>
      <c r="E16" s="2"/>
      <c r="F16" s="2"/>
      <c r="G16" s="2"/>
    </row>
    <row r="17" spans="1:7" s="3" customFormat="1" ht="20.100000000000001" customHeight="1" x14ac:dyDescent="0.3">
      <c r="A17" s="231" t="s">
        <v>7</v>
      </c>
      <c r="B17" s="232"/>
      <c r="C17" s="233"/>
      <c r="D17" s="92"/>
      <c r="E17" s="92" t="s">
        <v>8</v>
      </c>
      <c r="F17" s="92" t="s">
        <v>9</v>
      </c>
      <c r="G17" s="93" t="s">
        <v>10</v>
      </c>
    </row>
    <row r="18" spans="1:7" s="3" customFormat="1" ht="19.2" customHeight="1" x14ac:dyDescent="0.3">
      <c r="A18" s="250" t="s">
        <v>235</v>
      </c>
      <c r="B18" s="252"/>
      <c r="C18" s="98" t="s">
        <v>217</v>
      </c>
      <c r="D18" s="99">
        <f>((E19*F19)+(E20*F20)+(E21*F21)+(E22*F22))/(E19+E20+E21+E22)</f>
        <v>1900</v>
      </c>
      <c r="E18" s="98"/>
      <c r="F18" s="98" t="s">
        <v>11</v>
      </c>
      <c r="G18" s="100"/>
    </row>
    <row r="19" spans="1:7" s="3" customFormat="1" ht="19.2" customHeight="1" x14ac:dyDescent="0.3">
      <c r="A19" s="234" t="s">
        <v>237</v>
      </c>
      <c r="B19" s="235"/>
      <c r="C19" s="235"/>
      <c r="D19" s="32"/>
      <c r="E19" s="106">
        <v>1</v>
      </c>
      <c r="F19" s="34">
        <v>3500</v>
      </c>
      <c r="G19" s="26">
        <f>E19*F19</f>
        <v>3500</v>
      </c>
    </row>
    <row r="20" spans="1:7" s="3" customFormat="1" ht="19.2" customHeight="1" x14ac:dyDescent="0.3">
      <c r="A20" s="234" t="s">
        <v>275</v>
      </c>
      <c r="B20" s="235"/>
      <c r="C20" s="235"/>
      <c r="D20" s="32"/>
      <c r="E20" s="35">
        <v>4</v>
      </c>
      <c r="F20" s="25">
        <v>2500</v>
      </c>
      <c r="G20" s="26">
        <f t="shared" ref="G20:G23" si="0">E20*F20</f>
        <v>10000</v>
      </c>
    </row>
    <row r="21" spans="1:7" s="3" customFormat="1" ht="19.2" customHeight="1" x14ac:dyDescent="0.3">
      <c r="A21" s="234" t="s">
        <v>276</v>
      </c>
      <c r="B21" s="235"/>
      <c r="C21" s="235"/>
      <c r="D21" s="32"/>
      <c r="E21" s="35">
        <v>5</v>
      </c>
      <c r="F21" s="25">
        <v>1800</v>
      </c>
      <c r="G21" s="26">
        <f t="shared" si="0"/>
        <v>9000</v>
      </c>
    </row>
    <row r="22" spans="1:7" s="3" customFormat="1" ht="19.2" customHeight="1" x14ac:dyDescent="0.3">
      <c r="A22" s="234" t="s">
        <v>277</v>
      </c>
      <c r="B22" s="235"/>
      <c r="C22" s="235"/>
      <c r="D22" s="32"/>
      <c r="E22" s="35">
        <v>5</v>
      </c>
      <c r="F22" s="25">
        <v>1200</v>
      </c>
      <c r="G22" s="26">
        <f t="shared" si="0"/>
        <v>6000</v>
      </c>
    </row>
    <row r="23" spans="1:7" s="3" customFormat="1" ht="19.2" customHeight="1" x14ac:dyDescent="0.3">
      <c r="A23" s="234" t="s">
        <v>12</v>
      </c>
      <c r="B23" s="235"/>
      <c r="C23" s="235"/>
      <c r="D23" s="33"/>
      <c r="E23" s="174">
        <f>SUM(E19:E22)</f>
        <v>15</v>
      </c>
      <c r="F23" s="36">
        <f>40%*1050</f>
        <v>420</v>
      </c>
      <c r="G23" s="26">
        <f t="shared" si="0"/>
        <v>6300</v>
      </c>
    </row>
    <row r="24" spans="1:7" s="3" customFormat="1" ht="19.2" customHeight="1" x14ac:dyDescent="0.3">
      <c r="A24" s="250" t="s">
        <v>236</v>
      </c>
      <c r="B24" s="251"/>
      <c r="C24" s="251"/>
      <c r="D24" s="252"/>
      <c r="E24" s="103">
        <f>SUM(E19:E22)</f>
        <v>15</v>
      </c>
      <c r="F24" s="101"/>
      <c r="G24" s="102">
        <f>SUM(G19:G23)</f>
        <v>34800</v>
      </c>
    </row>
    <row r="25" spans="1:7" s="3" customFormat="1" ht="19.2" customHeight="1" x14ac:dyDescent="0.3">
      <c r="A25" s="247" t="s">
        <v>13</v>
      </c>
      <c r="B25" s="248"/>
      <c r="C25" s="248"/>
      <c r="D25" s="249"/>
      <c r="E25" s="103"/>
      <c r="F25" s="104">
        <f>'Encargos sociais'!C72/100</f>
        <v>0.97438894685954069</v>
      </c>
      <c r="G25" s="105">
        <f>G24*F25</f>
        <v>33908.735350712013</v>
      </c>
    </row>
    <row r="26" spans="1:7" s="3" customFormat="1" ht="20.100000000000001" customHeight="1" thickBot="1" x14ac:dyDescent="0.35">
      <c r="A26" s="244" t="s">
        <v>14</v>
      </c>
      <c r="B26" s="245"/>
      <c r="C26" s="245"/>
      <c r="D26" s="245"/>
      <c r="E26" s="245"/>
      <c r="F26" s="246"/>
      <c r="G26" s="94">
        <f>G24+G25</f>
        <v>68708.735350712013</v>
      </c>
    </row>
    <row r="27" spans="1:7" ht="20.100000000000001" customHeight="1" thickBot="1" x14ac:dyDescent="0.3">
      <c r="A27" s="2"/>
      <c r="B27" s="2"/>
      <c r="C27" s="2"/>
      <c r="D27" s="2"/>
      <c r="E27" s="2"/>
      <c r="F27" s="2"/>
      <c r="G27" s="2"/>
    </row>
    <row r="28" spans="1:7" s="3" customFormat="1" ht="20.100000000000001" customHeight="1" x14ac:dyDescent="0.3">
      <c r="A28" s="226" t="s">
        <v>34</v>
      </c>
      <c r="B28" s="227"/>
      <c r="C28" s="227"/>
      <c r="D28" s="227"/>
      <c r="E28" s="227"/>
      <c r="F28" s="227"/>
      <c r="G28" s="253"/>
    </row>
    <row r="29" spans="1:7" s="3" customFormat="1" ht="19.2" customHeight="1" x14ac:dyDescent="0.3">
      <c r="A29" s="96" t="s">
        <v>35</v>
      </c>
      <c r="B29" s="97" t="s">
        <v>15</v>
      </c>
      <c r="C29" s="97" t="s">
        <v>16</v>
      </c>
      <c r="D29" s="97" t="s">
        <v>17</v>
      </c>
      <c r="E29" s="97" t="s">
        <v>18</v>
      </c>
      <c r="F29" s="97" t="s">
        <v>19</v>
      </c>
      <c r="G29" s="150" t="s">
        <v>10</v>
      </c>
    </row>
    <row r="30" spans="1:7" s="3" customFormat="1" ht="19.2" customHeight="1" x14ac:dyDescent="0.3">
      <c r="A30" s="145" t="s">
        <v>20</v>
      </c>
      <c r="B30" s="27" t="s">
        <v>21</v>
      </c>
      <c r="C30" s="149">
        <v>42</v>
      </c>
      <c r="D30" s="141">
        <v>4</v>
      </c>
      <c r="E30" s="141">
        <f>$E$24</f>
        <v>15</v>
      </c>
      <c r="F30" s="158">
        <f t="shared" ref="F30:F36" si="1">(C30*D30)/12</f>
        <v>14</v>
      </c>
      <c r="G30" s="151">
        <f t="shared" ref="G30:G35" si="2">E30*F30</f>
        <v>210</v>
      </c>
    </row>
    <row r="31" spans="1:7" s="3" customFormat="1" ht="19.2" customHeight="1" x14ac:dyDescent="0.3">
      <c r="A31" s="145" t="s">
        <v>22</v>
      </c>
      <c r="B31" s="27" t="s">
        <v>21</v>
      </c>
      <c r="C31" s="149">
        <v>25</v>
      </c>
      <c r="D31" s="141">
        <v>6</v>
      </c>
      <c r="E31" s="141">
        <f t="shared" ref="E31:E36" si="3">$E$24</f>
        <v>15</v>
      </c>
      <c r="F31" s="158">
        <f t="shared" si="1"/>
        <v>12.5</v>
      </c>
      <c r="G31" s="151">
        <f t="shared" si="2"/>
        <v>187.5</v>
      </c>
    </row>
    <row r="32" spans="1:7" s="3" customFormat="1" ht="19.2" customHeight="1" x14ac:dyDescent="0.3">
      <c r="A32" s="145" t="s">
        <v>23</v>
      </c>
      <c r="B32" s="27" t="s">
        <v>24</v>
      </c>
      <c r="C32" s="149">
        <v>45</v>
      </c>
      <c r="D32" s="141">
        <v>2</v>
      </c>
      <c r="E32" s="141">
        <f t="shared" si="3"/>
        <v>15</v>
      </c>
      <c r="F32" s="158">
        <f t="shared" si="1"/>
        <v>7.5</v>
      </c>
      <c r="G32" s="151">
        <f t="shared" si="2"/>
        <v>112.5</v>
      </c>
    </row>
    <row r="33" spans="1:7" s="3" customFormat="1" ht="19.2" customHeight="1" x14ac:dyDescent="0.3">
      <c r="A33" s="145" t="s">
        <v>25</v>
      </c>
      <c r="B33" s="27" t="s">
        <v>21</v>
      </c>
      <c r="C33" s="149">
        <v>3.9</v>
      </c>
      <c r="D33" s="141">
        <v>3</v>
      </c>
      <c r="E33" s="141">
        <f t="shared" si="3"/>
        <v>15</v>
      </c>
      <c r="F33" s="158">
        <f t="shared" si="1"/>
        <v>0.97499999999999998</v>
      </c>
      <c r="G33" s="151">
        <f t="shared" si="2"/>
        <v>14.625</v>
      </c>
    </row>
    <row r="34" spans="1:7" s="3" customFormat="1" ht="19.2" customHeight="1" x14ac:dyDescent="0.3">
      <c r="A34" s="145" t="s">
        <v>26</v>
      </c>
      <c r="B34" s="27" t="s">
        <v>21</v>
      </c>
      <c r="C34" s="149">
        <v>1</v>
      </c>
      <c r="D34" s="141">
        <v>45</v>
      </c>
      <c r="E34" s="141">
        <f t="shared" si="3"/>
        <v>15</v>
      </c>
      <c r="F34" s="158">
        <f t="shared" si="1"/>
        <v>3.75</v>
      </c>
      <c r="G34" s="151">
        <f t="shared" si="2"/>
        <v>56.25</v>
      </c>
    </row>
    <row r="35" spans="1:7" s="3" customFormat="1" ht="19.2" customHeight="1" x14ac:dyDescent="0.3">
      <c r="A35" s="145" t="s">
        <v>27</v>
      </c>
      <c r="B35" s="27" t="s">
        <v>21</v>
      </c>
      <c r="C35" s="149">
        <v>13</v>
      </c>
      <c r="D35" s="141">
        <v>3</v>
      </c>
      <c r="E35" s="141">
        <f t="shared" si="3"/>
        <v>15</v>
      </c>
      <c r="F35" s="158">
        <f t="shared" si="1"/>
        <v>3.25</v>
      </c>
      <c r="G35" s="151">
        <f t="shared" si="2"/>
        <v>48.75</v>
      </c>
    </row>
    <row r="36" spans="1:7" s="3" customFormat="1" ht="19.2" customHeight="1" x14ac:dyDescent="0.3">
      <c r="A36" s="145" t="s">
        <v>28</v>
      </c>
      <c r="B36" s="27" t="s">
        <v>21</v>
      </c>
      <c r="C36" s="149">
        <v>1</v>
      </c>
      <c r="D36" s="141">
        <v>6</v>
      </c>
      <c r="E36" s="141">
        <f t="shared" si="3"/>
        <v>15</v>
      </c>
      <c r="F36" s="158">
        <f t="shared" si="1"/>
        <v>0.5</v>
      </c>
      <c r="G36" s="151">
        <f>E36*F36</f>
        <v>7.5</v>
      </c>
    </row>
    <row r="37" spans="1:7" s="3" customFormat="1" ht="19.2" customHeight="1" thickBot="1" x14ac:dyDescent="0.35">
      <c r="A37" s="259" t="str">
        <f>A28</f>
        <v>BENEFICIOS - UNIFORMES / EPI´s</v>
      </c>
      <c r="B37" s="260"/>
      <c r="C37" s="260"/>
      <c r="D37" s="260"/>
      <c r="E37" s="260"/>
      <c r="F37" s="260"/>
      <c r="G37" s="95">
        <f>SUM(G30:G36)</f>
        <v>637.125</v>
      </c>
    </row>
    <row r="38" spans="1:7" s="3" customFormat="1" ht="19.2" customHeight="1" thickBot="1" x14ac:dyDescent="0.35">
      <c r="A38" s="154"/>
      <c r="B38" s="155"/>
      <c r="C38" s="156"/>
      <c r="D38" s="157"/>
      <c r="E38" s="157"/>
      <c r="F38" s="156"/>
      <c r="G38" s="156"/>
    </row>
    <row r="39" spans="1:7" s="3" customFormat="1" ht="20.100000000000001" customHeight="1" x14ac:dyDescent="0.3">
      <c r="A39" s="261" t="s">
        <v>225</v>
      </c>
      <c r="B39" s="262"/>
      <c r="C39" s="92" t="s">
        <v>0</v>
      </c>
      <c r="D39" s="92" t="s">
        <v>21</v>
      </c>
      <c r="E39" s="268" t="s">
        <v>282</v>
      </c>
      <c r="F39" s="269"/>
      <c r="G39" s="93" t="s">
        <v>51</v>
      </c>
    </row>
    <row r="40" spans="1:7" s="3" customFormat="1" ht="20.100000000000001" customHeight="1" x14ac:dyDescent="0.3">
      <c r="A40" s="266" t="s">
        <v>297</v>
      </c>
      <c r="B40" s="267"/>
      <c r="C40" s="176">
        <v>4</v>
      </c>
      <c r="D40" s="175" t="s">
        <v>278</v>
      </c>
      <c r="E40" s="270">
        <v>400</v>
      </c>
      <c r="F40" s="271"/>
      <c r="G40" s="148">
        <f>C40*E40</f>
        <v>1600</v>
      </c>
    </row>
    <row r="41" spans="1:7" s="3" customFormat="1" ht="20.100000000000001" customHeight="1" x14ac:dyDescent="0.3">
      <c r="A41" s="266" t="s">
        <v>298</v>
      </c>
      <c r="B41" s="267"/>
      <c r="C41" s="176">
        <v>3.6</v>
      </c>
      <c r="D41" s="175" t="s">
        <v>278</v>
      </c>
      <c r="E41" s="270">
        <v>300</v>
      </c>
      <c r="F41" s="271"/>
      <c r="G41" s="148">
        <f t="shared" ref="G41:G42" si="4">C41*E41</f>
        <v>1080</v>
      </c>
    </row>
    <row r="42" spans="1:7" s="3" customFormat="1" ht="20.100000000000001" customHeight="1" x14ac:dyDescent="0.3">
      <c r="A42" s="266" t="s">
        <v>299</v>
      </c>
      <c r="B42" s="267"/>
      <c r="C42" s="176">
        <v>3.6</v>
      </c>
      <c r="D42" s="175" t="s">
        <v>278</v>
      </c>
      <c r="E42" s="270">
        <v>300</v>
      </c>
      <c r="F42" s="271"/>
      <c r="G42" s="148">
        <f t="shared" si="4"/>
        <v>1080</v>
      </c>
    </row>
    <row r="43" spans="1:7" s="3" customFormat="1" ht="20.100000000000001" customHeight="1" x14ac:dyDescent="0.3">
      <c r="A43" s="266" t="s">
        <v>227</v>
      </c>
      <c r="B43" s="267"/>
      <c r="C43" s="176">
        <v>400</v>
      </c>
      <c r="D43" s="175" t="s">
        <v>279</v>
      </c>
      <c r="E43" s="270">
        <v>6</v>
      </c>
      <c r="F43" s="271"/>
      <c r="G43" s="148">
        <f t="shared" ref="G43:G50" si="5">C43*E43</f>
        <v>2400</v>
      </c>
    </row>
    <row r="44" spans="1:7" s="3" customFormat="1" ht="20.100000000000001" customHeight="1" x14ac:dyDescent="0.3">
      <c r="A44" s="266" t="s">
        <v>263</v>
      </c>
      <c r="B44" s="267"/>
      <c r="C44" s="176">
        <v>0.18</v>
      </c>
      <c r="D44" s="175" t="s">
        <v>280</v>
      </c>
      <c r="E44" s="270">
        <f>'Esgoto gerado'!$C$8</f>
        <v>14100.480000000003</v>
      </c>
      <c r="F44" s="271"/>
      <c r="G44" s="148">
        <f t="shared" si="5"/>
        <v>2538.0864000000006</v>
      </c>
    </row>
    <row r="45" spans="1:7" s="3" customFormat="1" ht="20.100000000000001" customHeight="1" x14ac:dyDescent="0.3">
      <c r="A45" s="266" t="s">
        <v>264</v>
      </c>
      <c r="B45" s="267"/>
      <c r="C45" s="176">
        <v>0.05</v>
      </c>
      <c r="D45" s="175" t="s">
        <v>280</v>
      </c>
      <c r="E45" s="270">
        <f>'Esgoto gerado'!$C$8</f>
        <v>14100.480000000003</v>
      </c>
      <c r="F45" s="271"/>
      <c r="G45" s="148">
        <f t="shared" si="5"/>
        <v>705.02400000000023</v>
      </c>
    </row>
    <row r="46" spans="1:7" s="3" customFormat="1" ht="20.100000000000001" customHeight="1" x14ac:dyDescent="0.3">
      <c r="A46" s="266" t="s">
        <v>265</v>
      </c>
      <c r="B46" s="267"/>
      <c r="C46" s="176">
        <v>0.15</v>
      </c>
      <c r="D46" s="175" t="s">
        <v>280</v>
      </c>
      <c r="E46" s="270">
        <f>'Esgoto gerado'!$C$8</f>
        <v>14100.480000000003</v>
      </c>
      <c r="F46" s="271"/>
      <c r="G46" s="148">
        <f t="shared" si="5"/>
        <v>2115.0720000000006</v>
      </c>
    </row>
    <row r="47" spans="1:7" s="3" customFormat="1" ht="20.100000000000001" customHeight="1" thickBot="1" x14ac:dyDescent="0.35">
      <c r="A47" s="244" t="s">
        <v>226</v>
      </c>
      <c r="B47" s="245"/>
      <c r="C47" s="245"/>
      <c r="D47" s="245"/>
      <c r="E47" s="245"/>
      <c r="F47" s="246"/>
      <c r="G47" s="95">
        <f>SUM(G40:G46)</f>
        <v>11518.1824</v>
      </c>
    </row>
    <row r="48" spans="1:7" s="3" customFormat="1" ht="20.100000000000001" customHeight="1" thickBot="1" x14ac:dyDescent="0.35"/>
    <row r="49" spans="1:18" s="3" customFormat="1" ht="20.100000000000001" customHeight="1" x14ac:dyDescent="0.3">
      <c r="A49" s="261" t="s">
        <v>286</v>
      </c>
      <c r="B49" s="262"/>
      <c r="C49" s="92" t="s">
        <v>48</v>
      </c>
      <c r="D49" s="92" t="s">
        <v>21</v>
      </c>
      <c r="E49" s="268" t="s">
        <v>294</v>
      </c>
      <c r="F49" s="269"/>
      <c r="G49" s="93" t="s">
        <v>51</v>
      </c>
    </row>
    <row r="50" spans="1:18" s="3" customFormat="1" ht="20.100000000000001" customHeight="1" x14ac:dyDescent="0.3">
      <c r="A50" s="266" t="s">
        <v>266</v>
      </c>
      <c r="B50" s="267"/>
      <c r="C50" s="177">
        <v>0.25</v>
      </c>
      <c r="D50" s="175" t="s">
        <v>48</v>
      </c>
      <c r="E50" s="270">
        <f>G8+G9+G12+G15+G26+G37+G47</f>
        <v>93561.779989821312</v>
      </c>
      <c r="F50" s="271"/>
      <c r="G50" s="148">
        <f t="shared" si="5"/>
        <v>23390.444997455328</v>
      </c>
    </row>
    <row r="51" spans="1:18" s="3" customFormat="1" ht="20.100000000000001" customHeight="1" thickBot="1" x14ac:dyDescent="0.35">
      <c r="A51" s="244" t="s">
        <v>226</v>
      </c>
      <c r="B51" s="245"/>
      <c r="C51" s="245"/>
      <c r="D51" s="245"/>
      <c r="E51" s="245"/>
      <c r="F51" s="246"/>
      <c r="G51" s="95">
        <f>G50</f>
        <v>23390.444997455328</v>
      </c>
    </row>
    <row r="52" spans="1:18" s="3" customFormat="1" ht="20.100000000000001" customHeight="1" thickBot="1" x14ac:dyDescent="0.35">
      <c r="A52" s="4"/>
      <c r="B52" s="4"/>
      <c r="C52" s="4"/>
      <c r="D52" s="4"/>
      <c r="E52" s="4"/>
      <c r="F52" s="5"/>
      <c r="G52" s="6"/>
    </row>
    <row r="53" spans="1:18" s="3" customFormat="1" ht="20.100000000000001" customHeight="1" x14ac:dyDescent="0.3">
      <c r="A53" s="256" t="s">
        <v>240</v>
      </c>
      <c r="B53" s="257"/>
      <c r="C53" s="257"/>
      <c r="D53" s="257"/>
      <c r="E53" s="258"/>
      <c r="F53" s="160" t="s">
        <v>48</v>
      </c>
      <c r="G53" s="161" t="s">
        <v>0</v>
      </c>
    </row>
    <row r="54" spans="1:18" ht="19.2" customHeight="1" x14ac:dyDescent="0.25">
      <c r="A54" s="255" t="str">
        <f>A7</f>
        <v>MANUTENÇÃO DOS EQUIPAMENTOS</v>
      </c>
      <c r="B54" s="255"/>
      <c r="C54" s="255"/>
      <c r="D54" s="255"/>
      <c r="E54" s="255"/>
      <c r="F54" s="162">
        <f t="shared" ref="F54:F60" si="6">G54/$G$61</f>
        <v>1.5365013963446167E-2</v>
      </c>
      <c r="G54" s="163">
        <f>G8+G9</f>
        <v>1796.9725699856033</v>
      </c>
      <c r="H54" s="3"/>
      <c r="R54" s="3"/>
    </row>
    <row r="55" spans="1:18" ht="19.2" customHeight="1" x14ac:dyDescent="0.25">
      <c r="A55" s="255" t="str">
        <f>A11</f>
        <v>MANUTENÇÃO DA ETE</v>
      </c>
      <c r="B55" s="255"/>
      <c r="C55" s="255"/>
      <c r="D55" s="255"/>
      <c r="E55" s="255"/>
      <c r="F55" s="162">
        <f t="shared" si="6"/>
        <v>1.9771157673552056E-8</v>
      </c>
      <c r="G55" s="163">
        <f>G12</f>
        <v>2.3122808804961811E-3</v>
      </c>
      <c r="H55" s="3"/>
    </row>
    <row r="56" spans="1:18" ht="19.2" customHeight="1" x14ac:dyDescent="0.25">
      <c r="A56" s="255" t="str">
        <f>A14</f>
        <v>RETORNO DOS INVESTIMENTOS</v>
      </c>
      <c r="B56" s="255"/>
      <c r="C56" s="255"/>
      <c r="D56" s="255"/>
      <c r="E56" s="255"/>
      <c r="F56" s="162">
        <f t="shared" si="6"/>
        <v>9.3206968555140463E-2</v>
      </c>
      <c r="G56" s="163">
        <f>G15</f>
        <v>10900.762356842806</v>
      </c>
      <c r="H56" s="3"/>
    </row>
    <row r="57" spans="1:18" ht="19.2" customHeight="1" x14ac:dyDescent="0.25">
      <c r="A57" s="255" t="str">
        <f>A17</f>
        <v>CUSTO DIRETO DO PESSOAL</v>
      </c>
      <c r="B57" s="255"/>
      <c r="C57" s="255"/>
      <c r="D57" s="255"/>
      <c r="E57" s="255"/>
      <c r="F57" s="162">
        <f t="shared" si="6"/>
        <v>0.58749404176095765</v>
      </c>
      <c r="G57" s="163">
        <f>G26</f>
        <v>68708.735350712013</v>
      </c>
      <c r="H57" s="3"/>
    </row>
    <row r="58" spans="1:18" ht="19.2" customHeight="1" x14ac:dyDescent="0.25">
      <c r="A58" s="170" t="str">
        <f>A37</f>
        <v>BENEFICIOS - UNIFORMES / EPI´s</v>
      </c>
      <c r="B58" s="170"/>
      <c r="C58" s="170"/>
      <c r="D58" s="170"/>
      <c r="E58" s="170"/>
      <c r="F58" s="162">
        <f t="shared" si="6"/>
        <v>5.4477373138417289E-3</v>
      </c>
      <c r="G58" s="163">
        <f>G37</f>
        <v>637.125</v>
      </c>
      <c r="H58" s="3"/>
    </row>
    <row r="59" spans="1:18" ht="19.2" customHeight="1" x14ac:dyDescent="0.25">
      <c r="A59" s="255" t="str">
        <f>A39</f>
        <v>OUTROS CUSTOS</v>
      </c>
      <c r="B59" s="255"/>
      <c r="C59" s="255"/>
      <c r="D59" s="255"/>
      <c r="E59" s="255"/>
      <c r="F59" s="162">
        <f t="shared" si="6"/>
        <v>9.8486218635456271E-2</v>
      </c>
      <c r="G59" s="163">
        <f>G47</f>
        <v>11518.1824</v>
      </c>
      <c r="H59" s="3"/>
    </row>
    <row r="60" spans="1:18" ht="19.2" customHeight="1" x14ac:dyDescent="0.25">
      <c r="A60" s="255" t="str">
        <f>A49</f>
        <v>DESPESAS GERAIS E ADMINISTRATIVAS</v>
      </c>
      <c r="B60" s="255"/>
      <c r="C60" s="255"/>
      <c r="D60" s="255"/>
      <c r="E60" s="255"/>
      <c r="F60" s="162">
        <f t="shared" si="6"/>
        <v>0.2</v>
      </c>
      <c r="G60" s="163">
        <f>G51</f>
        <v>23390.444997455328</v>
      </c>
      <c r="H60" s="3"/>
    </row>
    <row r="61" spans="1:18" ht="20.100000000000001" customHeight="1" x14ac:dyDescent="0.25">
      <c r="A61" s="263" t="s">
        <v>239</v>
      </c>
      <c r="B61" s="264"/>
      <c r="C61" s="264"/>
      <c r="D61" s="264"/>
      <c r="E61" s="265"/>
      <c r="F61" s="164">
        <f>SUM(F54:F60)</f>
        <v>1</v>
      </c>
      <c r="G61" s="165">
        <f>SUM(G54:G60)</f>
        <v>116952.22498727664</v>
      </c>
      <c r="H61" s="3"/>
    </row>
    <row r="62" spans="1:18" ht="10.199999999999999" customHeight="1" thickBot="1" x14ac:dyDescent="0.35">
      <c r="A62" s="166"/>
      <c r="B62" s="166"/>
      <c r="C62" s="166"/>
      <c r="D62" s="166"/>
      <c r="E62" s="166"/>
      <c r="F62" s="166"/>
      <c r="G62" s="166"/>
      <c r="H62" s="3"/>
    </row>
    <row r="63" spans="1:18" ht="20.100000000000001" customHeight="1" x14ac:dyDescent="0.25">
      <c r="A63" s="256" t="s">
        <v>222</v>
      </c>
      <c r="B63" s="257"/>
      <c r="C63" s="257"/>
      <c r="D63" s="257"/>
      <c r="E63" s="257"/>
      <c r="F63" s="258"/>
      <c r="G63" s="161" t="s">
        <v>51</v>
      </c>
      <c r="H63" s="3"/>
    </row>
    <row r="64" spans="1:18" ht="19.2" customHeight="1" x14ac:dyDescent="0.25">
      <c r="A64" s="254" t="str">
        <f>A61</f>
        <v xml:space="preserve">TOTAL GERAL DOS CUSTOS </v>
      </c>
      <c r="B64" s="254"/>
      <c r="C64" s="254"/>
      <c r="D64" s="254"/>
      <c r="E64" s="254"/>
      <c r="F64" s="254"/>
      <c r="G64" s="167">
        <f>G61</f>
        <v>116952.22498727664</v>
      </c>
      <c r="H64" s="3"/>
    </row>
    <row r="65" spans="1:8" ht="20.100000000000001" customHeight="1" thickBot="1" x14ac:dyDescent="0.3">
      <c r="A65" s="228" t="s">
        <v>287</v>
      </c>
      <c r="B65" s="229"/>
      <c r="C65" s="229"/>
      <c r="D65" s="229"/>
      <c r="E65" s="230"/>
      <c r="F65" s="168"/>
      <c r="G65" s="169">
        <f>G64</f>
        <v>116952.22498727664</v>
      </c>
      <c r="H65" s="3"/>
    </row>
    <row r="66" spans="1:8" ht="10.199999999999999" customHeight="1" x14ac:dyDescent="0.3">
      <c r="A66" s="166"/>
      <c r="B66" s="166"/>
      <c r="C66" s="166"/>
      <c r="D66" s="166"/>
      <c r="E66" s="166"/>
      <c r="F66" s="166"/>
      <c r="G66" s="166"/>
      <c r="H66" s="3"/>
    </row>
    <row r="67" spans="1:8" ht="20.100000000000001" customHeight="1" thickBot="1" x14ac:dyDescent="0.3">
      <c r="A67" s="178" t="s">
        <v>288</v>
      </c>
      <c r="B67" s="179"/>
      <c r="C67" s="179"/>
      <c r="D67" s="181">
        <f>'Esgoto gerado'!C8</f>
        <v>14100.480000000003</v>
      </c>
      <c r="E67" s="180" t="s">
        <v>285</v>
      </c>
      <c r="F67" s="168"/>
      <c r="G67" s="169">
        <f>G65/D67</f>
        <v>8.2942016858487531</v>
      </c>
      <c r="H67" s="3"/>
    </row>
    <row r="68" spans="1:8" ht="10.199999999999999" customHeight="1" x14ac:dyDescent="0.3">
      <c r="A68" s="166"/>
      <c r="B68" s="166"/>
      <c r="C68" s="166"/>
      <c r="D68" s="166"/>
      <c r="E68" s="166"/>
      <c r="F68" s="166"/>
      <c r="G68" s="166"/>
      <c r="H68" s="3"/>
    </row>
    <row r="69" spans="1:8" ht="20.100000000000001" customHeight="1" thickBot="1" x14ac:dyDescent="0.3">
      <c r="A69" s="178" t="s">
        <v>290</v>
      </c>
      <c r="B69" s="179"/>
      <c r="C69" s="179"/>
      <c r="D69" s="182">
        <f>'Esgoto gerado'!C16</f>
        <v>500</v>
      </c>
      <c r="E69" s="180" t="s">
        <v>289</v>
      </c>
      <c r="F69" s="168"/>
      <c r="G69" s="169">
        <f>G65/D69/12</f>
        <v>19.492037497879441</v>
      </c>
      <c r="H69" s="3"/>
    </row>
    <row r="70" spans="1:8" ht="10.199999999999999" customHeight="1" x14ac:dyDescent="0.3">
      <c r="A70" s="166"/>
      <c r="B70" s="166"/>
      <c r="C70" s="166"/>
      <c r="D70" s="166"/>
      <c r="E70" s="166"/>
      <c r="F70" s="166"/>
      <c r="G70" s="166"/>
      <c r="H70" s="3"/>
    </row>
    <row r="71" spans="1:8" ht="20.100000000000001" customHeight="1" thickBot="1" x14ac:dyDescent="0.3">
      <c r="A71" s="178" t="s">
        <v>291</v>
      </c>
      <c r="B71" s="179"/>
      <c r="C71" s="179"/>
      <c r="D71" s="182">
        <f>'Esgoto gerado'!C7</f>
        <v>2000</v>
      </c>
      <c r="E71" s="180" t="s">
        <v>245</v>
      </c>
      <c r="F71" s="168"/>
      <c r="G71" s="169">
        <f>G65/D71/12</f>
        <v>4.8730093744698602</v>
      </c>
      <c r="H71" s="3"/>
    </row>
    <row r="72" spans="1:8" ht="20.100000000000001" customHeight="1" x14ac:dyDescent="0.25"/>
    <row r="73" spans="1:8" ht="20.100000000000001" customHeight="1" x14ac:dyDescent="0.25"/>
    <row r="74" spans="1:8" ht="20.100000000000001" customHeight="1" x14ac:dyDescent="0.25"/>
  </sheetData>
  <sheetProtection algorithmName="SHA-512" hashValue="0Zel12QQwuUMHmTSWzzNLA2eMKOA9J9wGUYi2gy/4l3u8Gs7XybNTB42veSjyYdI894H3ps+R+LM+e6tWcTkqQ==" saltValue="0iAngaefyIM9HWmLPPS4HQ==" spinCount="100000" sheet="1" objects="1" scenarios="1"/>
  <mergeCells count="54">
    <mergeCell ref="A45:B45"/>
    <mergeCell ref="A46:B46"/>
    <mergeCell ref="A49:B49"/>
    <mergeCell ref="E46:F46"/>
    <mergeCell ref="E50:F50"/>
    <mergeCell ref="A47:F47"/>
    <mergeCell ref="E49:F49"/>
    <mergeCell ref="A41:B41"/>
    <mergeCell ref="A42:B42"/>
    <mergeCell ref="E41:F41"/>
    <mergeCell ref="E42:F42"/>
    <mergeCell ref="A44:B44"/>
    <mergeCell ref="A37:F37"/>
    <mergeCell ref="A39:B39"/>
    <mergeCell ref="A63:F63"/>
    <mergeCell ref="A61:E61"/>
    <mergeCell ref="A59:E59"/>
    <mergeCell ref="A57:E57"/>
    <mergeCell ref="A51:F51"/>
    <mergeCell ref="A40:B40"/>
    <mergeCell ref="A43:B43"/>
    <mergeCell ref="A50:B50"/>
    <mergeCell ref="E39:F39"/>
    <mergeCell ref="E40:F40"/>
    <mergeCell ref="E43:F43"/>
    <mergeCell ref="E44:F44"/>
    <mergeCell ref="E45:F45"/>
    <mergeCell ref="A60:E60"/>
    <mergeCell ref="A64:F64"/>
    <mergeCell ref="A56:E56"/>
    <mergeCell ref="A55:E55"/>
    <mergeCell ref="A54:E54"/>
    <mergeCell ref="A53:E53"/>
    <mergeCell ref="A24:D24"/>
    <mergeCell ref="A18:B18"/>
    <mergeCell ref="A28:G28"/>
    <mergeCell ref="A21:C21"/>
    <mergeCell ref="A22:C22"/>
    <mergeCell ref="A1:G3"/>
    <mergeCell ref="A5:G5"/>
    <mergeCell ref="A7:C7"/>
    <mergeCell ref="A65:E65"/>
    <mergeCell ref="A17:C17"/>
    <mergeCell ref="A20:C20"/>
    <mergeCell ref="A23:C23"/>
    <mergeCell ref="A8:C8"/>
    <mergeCell ref="A9:C9"/>
    <mergeCell ref="A14:C14"/>
    <mergeCell ref="A15:C15"/>
    <mergeCell ref="A12:C12"/>
    <mergeCell ref="A11:C11"/>
    <mergeCell ref="A19:C19"/>
    <mergeCell ref="A26:F26"/>
    <mergeCell ref="A25:D2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4" orientation="portrait" r:id="rId1"/>
  <headerFooter>
    <oddFooter>&amp;L&amp;F&amp;C&amp;A&amp;R&amp;P/&amp;N</oddFooter>
  </headerFooter>
  <ignoredErrors>
    <ignoredError sqref="E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topLeftCell="A4" zoomScaleNormal="100" workbookViewId="0">
      <selection activeCell="E40" sqref="E40"/>
    </sheetView>
  </sheetViews>
  <sheetFormatPr defaultColWidth="9.109375" defaultRowHeight="12" x14ac:dyDescent="0.25"/>
  <cols>
    <col min="1" max="1" width="39.6640625" style="8" customWidth="1"/>
    <col min="2" max="2" width="10.5546875" style="9" customWidth="1"/>
    <col min="3" max="3" width="13.33203125" style="9" customWidth="1"/>
    <col min="4" max="4" width="10.5546875" style="9" customWidth="1"/>
    <col min="5" max="5" width="11.109375" style="9" customWidth="1"/>
    <col min="6" max="6" width="11.33203125" style="9" customWidth="1"/>
    <col min="7" max="7" width="10.88671875" style="9" customWidth="1"/>
    <col min="8" max="8" width="15.88671875" style="9" customWidth="1"/>
    <col min="9" max="9" width="12" style="8" bestFit="1" customWidth="1"/>
    <col min="10" max="16384" width="9.109375" style="8"/>
  </cols>
  <sheetData>
    <row r="1" spans="1:9" ht="15" customHeight="1" x14ac:dyDescent="0.25">
      <c r="A1" s="214" t="str">
        <f>Capa!B5</f>
        <v>Nome do município</v>
      </c>
      <c r="B1" s="215"/>
      <c r="C1" s="215"/>
      <c r="D1" s="215"/>
      <c r="E1" s="215"/>
      <c r="F1" s="215"/>
      <c r="G1" s="215"/>
      <c r="H1" s="215"/>
      <c r="I1" s="216"/>
    </row>
    <row r="2" spans="1:9" ht="15" customHeight="1" x14ac:dyDescent="0.25">
      <c r="A2" s="217"/>
      <c r="B2" s="218"/>
      <c r="C2" s="218"/>
      <c r="D2" s="218"/>
      <c r="E2" s="218"/>
      <c r="F2" s="218"/>
      <c r="G2" s="218"/>
      <c r="H2" s="218"/>
      <c r="I2" s="219"/>
    </row>
    <row r="3" spans="1:9" ht="15.75" customHeight="1" thickBot="1" x14ac:dyDescent="0.3">
      <c r="A3" s="220"/>
      <c r="B3" s="221"/>
      <c r="C3" s="221"/>
      <c r="D3" s="221"/>
      <c r="E3" s="221"/>
      <c r="F3" s="221"/>
      <c r="G3" s="221"/>
      <c r="H3" s="221"/>
      <c r="I3" s="222"/>
    </row>
    <row r="4" spans="1:9" ht="15" thickBot="1" x14ac:dyDescent="0.35">
      <c r="A4"/>
      <c r="B4"/>
      <c r="C4"/>
      <c r="D4"/>
      <c r="E4"/>
      <c r="F4"/>
      <c r="G4"/>
      <c r="H4"/>
      <c r="I4"/>
    </row>
    <row r="5" spans="1:9" ht="20.100000000000001" customHeight="1" thickBot="1" x14ac:dyDescent="0.3">
      <c r="A5" s="278" t="s">
        <v>234</v>
      </c>
      <c r="B5" s="279"/>
      <c r="C5" s="279"/>
      <c r="D5" s="279"/>
      <c r="E5" s="279"/>
      <c r="F5" s="279"/>
      <c r="G5" s="279"/>
      <c r="H5" s="279"/>
      <c r="I5" s="280"/>
    </row>
    <row r="6" spans="1:9" ht="15" customHeight="1" thickBot="1" x14ac:dyDescent="0.35">
      <c r="A6"/>
      <c r="B6"/>
      <c r="C6"/>
      <c r="D6"/>
      <c r="E6" s="281" t="s">
        <v>2</v>
      </c>
      <c r="F6" s="281"/>
      <c r="G6" s="281"/>
      <c r="H6" s="281"/>
      <c r="I6" s="281"/>
    </row>
    <row r="7" spans="1:9" ht="21.75" customHeight="1" x14ac:dyDescent="0.25">
      <c r="A7" s="282" t="s">
        <v>241</v>
      </c>
      <c r="B7" s="284" t="s">
        <v>233</v>
      </c>
      <c r="C7" s="274" t="s">
        <v>219</v>
      </c>
      <c r="D7" s="272" t="s">
        <v>220</v>
      </c>
      <c r="E7" s="274" t="s">
        <v>221</v>
      </c>
      <c r="F7" s="286" t="s">
        <v>222</v>
      </c>
      <c r="G7" s="276" t="s">
        <v>223</v>
      </c>
      <c r="H7" s="277"/>
      <c r="I7" s="289" t="s">
        <v>3</v>
      </c>
    </row>
    <row r="8" spans="1:9" ht="25.5" customHeight="1" x14ac:dyDescent="0.25">
      <c r="A8" s="283"/>
      <c r="B8" s="285"/>
      <c r="C8" s="275"/>
      <c r="D8" s="273"/>
      <c r="E8" s="275"/>
      <c r="F8" s="287"/>
      <c r="G8" s="85">
        <f>12*20</f>
        <v>240</v>
      </c>
      <c r="H8" s="86">
        <v>0.01</v>
      </c>
      <c r="I8" s="290"/>
    </row>
    <row r="9" spans="1:9" ht="25.2" customHeight="1" x14ac:dyDescent="0.25">
      <c r="A9" s="172" t="s">
        <v>269</v>
      </c>
      <c r="B9" s="143">
        <v>20</v>
      </c>
      <c r="C9" s="143" t="s">
        <v>5</v>
      </c>
      <c r="D9" s="143">
        <v>1</v>
      </c>
      <c r="E9" s="144">
        <f>'Esgoto gerado'!C5</f>
        <v>3.5</v>
      </c>
      <c r="F9" s="144">
        <f t="shared" ref="F9:F10" si="0">D9*E9</f>
        <v>3.5</v>
      </c>
      <c r="G9" s="288">
        <f>-(PMT($H$8,$G$8,F9))*((60/12)/B9)</f>
        <v>9.6345036687340863E-3</v>
      </c>
      <c r="H9" s="288"/>
      <c r="I9" s="146">
        <f t="shared" ref="I9:I13" si="1">G9*12</f>
        <v>0.11561404402480904</v>
      </c>
    </row>
    <row r="10" spans="1:9" ht="25.2" customHeight="1" x14ac:dyDescent="0.25">
      <c r="A10" s="172" t="s">
        <v>270</v>
      </c>
      <c r="B10" s="143">
        <v>5</v>
      </c>
      <c r="C10" s="143" t="s">
        <v>6</v>
      </c>
      <c r="D10" s="143">
        <v>4</v>
      </c>
      <c r="E10" s="144">
        <v>60000</v>
      </c>
      <c r="F10" s="144">
        <f t="shared" si="0"/>
        <v>240000</v>
      </c>
      <c r="G10" s="288">
        <f t="shared" ref="G10:G13" si="2">-(PMT($H$8,$G$8,F10))*((60/12)/B10)</f>
        <v>2642.6067205670638</v>
      </c>
      <c r="H10" s="288"/>
      <c r="I10" s="146">
        <f t="shared" si="1"/>
        <v>31711.280646804764</v>
      </c>
    </row>
    <row r="11" spans="1:9" ht="25.2" customHeight="1" x14ac:dyDescent="0.25">
      <c r="A11" s="172" t="s">
        <v>295</v>
      </c>
      <c r="B11" s="143">
        <v>10</v>
      </c>
      <c r="C11" s="143" t="s">
        <v>6</v>
      </c>
      <c r="D11" s="143">
        <v>2</v>
      </c>
      <c r="E11" s="144">
        <v>200000</v>
      </c>
      <c r="F11" s="144">
        <f t="shared" ref="F11:F12" si="3">D11*E11</f>
        <v>400000</v>
      </c>
      <c r="G11" s="288">
        <f t="shared" ref="G11:G12" si="4">-(PMT($H$8,$G$8,F11))*((60/12)/B11)</f>
        <v>2202.1722671392199</v>
      </c>
      <c r="H11" s="288"/>
      <c r="I11" s="146">
        <f t="shared" si="1"/>
        <v>26426.067205670639</v>
      </c>
    </row>
    <row r="12" spans="1:9" ht="25.2" customHeight="1" x14ac:dyDescent="0.25">
      <c r="A12" s="172" t="s">
        <v>296</v>
      </c>
      <c r="B12" s="143">
        <v>10</v>
      </c>
      <c r="C12" s="143" t="s">
        <v>6</v>
      </c>
      <c r="D12" s="143">
        <v>2</v>
      </c>
      <c r="E12" s="144">
        <v>300000</v>
      </c>
      <c r="F12" s="144">
        <f t="shared" si="3"/>
        <v>600000</v>
      </c>
      <c r="G12" s="288">
        <f t="shared" si="4"/>
        <v>3303.2584007088299</v>
      </c>
      <c r="H12" s="288"/>
      <c r="I12" s="146">
        <f t="shared" si="1"/>
        <v>39639.100808505958</v>
      </c>
    </row>
    <row r="13" spans="1:9" ht="20.100000000000001" customHeight="1" x14ac:dyDescent="0.25">
      <c r="A13" s="147" t="s">
        <v>271</v>
      </c>
      <c r="B13" s="143">
        <v>2</v>
      </c>
      <c r="C13" s="143" t="s">
        <v>6</v>
      </c>
      <c r="D13" s="143">
        <v>10</v>
      </c>
      <c r="E13" s="144">
        <v>10000</v>
      </c>
      <c r="F13" s="144">
        <f t="shared" ref="F13" si="5">D13*E13</f>
        <v>100000</v>
      </c>
      <c r="G13" s="288">
        <f t="shared" si="2"/>
        <v>2752.7153339240249</v>
      </c>
      <c r="H13" s="288"/>
      <c r="I13" s="146">
        <f t="shared" si="1"/>
        <v>33032.584007088299</v>
      </c>
    </row>
    <row r="14" spans="1:9" ht="20.100000000000001" customHeight="1" thickBot="1" x14ac:dyDescent="0.3">
      <c r="A14" s="87" t="s">
        <v>38</v>
      </c>
      <c r="B14" s="88"/>
      <c r="C14" s="88"/>
      <c r="D14" s="88"/>
      <c r="E14" s="89"/>
      <c r="F14" s="90">
        <f>SUM(F9:F13)</f>
        <v>1340003.5</v>
      </c>
      <c r="G14" s="291">
        <f>SUM(G9:G13)</f>
        <v>10900.762356842806</v>
      </c>
      <c r="H14" s="292"/>
      <c r="I14" s="91">
        <f>SUM(I9:I13)</f>
        <v>130809.14828211369</v>
      </c>
    </row>
    <row r="15" spans="1:9" ht="15" customHeight="1" x14ac:dyDescent="0.25"/>
  </sheetData>
  <sheetProtection algorithmName="SHA-512" hashValue="N3u3ytJuZ6dkBOlzG/UAOTkc0sPUW7/n6FNi4dajKDeJT/6Z4rO7QGXphWx9oSDfPTff/t+bN4Ey6vEENJIh5Q==" saltValue="69gXn7YbDdE0svqnMC5zXQ==" spinCount="100000" sheet="1" objects="1" scenarios="1"/>
  <mergeCells count="17">
    <mergeCell ref="G13:H13"/>
    <mergeCell ref="G12:H12"/>
    <mergeCell ref="G10:H10"/>
    <mergeCell ref="I7:I8"/>
    <mergeCell ref="G14:H14"/>
    <mergeCell ref="G11:H11"/>
    <mergeCell ref="G9:H9"/>
    <mergeCell ref="A1:I3"/>
    <mergeCell ref="D7:D8"/>
    <mergeCell ref="C7:C8"/>
    <mergeCell ref="E7:E8"/>
    <mergeCell ref="G7:H7"/>
    <mergeCell ref="A5:I5"/>
    <mergeCell ref="E6:I6"/>
    <mergeCell ref="A7:A8"/>
    <mergeCell ref="B7:B8"/>
    <mergeCell ref="F7:F8"/>
  </mergeCells>
  <hyperlinks>
    <hyperlink ref="E6" r:id="rId1" xr:uid="{B7AC84D6-CCFD-4BFB-B7D5-22F9DD21E84A}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96" orientation="landscape" r:id="rId2"/>
  <headerFooter>
    <oddFooter>&amp;L&amp;F&amp;C&amp;A&amp;R&amp;P/&amp;N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zoomScaleNormal="100" workbookViewId="0">
      <selection sqref="A1:F3"/>
    </sheetView>
  </sheetViews>
  <sheetFormatPr defaultRowHeight="14.4" x14ac:dyDescent="0.3"/>
  <cols>
    <col min="1" max="1" width="22.109375" customWidth="1"/>
    <col min="4" max="4" width="26.5546875" customWidth="1"/>
    <col min="5" max="5" width="9.5546875" customWidth="1"/>
    <col min="6" max="6" width="9.33203125" bestFit="1" customWidth="1"/>
  </cols>
  <sheetData>
    <row r="1" spans="1:6" ht="15" customHeight="1" x14ac:dyDescent="0.3">
      <c r="A1" s="214" t="str">
        <f>Capa!B5</f>
        <v>Nome do município</v>
      </c>
      <c r="B1" s="215"/>
      <c r="C1" s="215"/>
      <c r="D1" s="215"/>
      <c r="E1" s="215"/>
      <c r="F1" s="216"/>
    </row>
    <row r="2" spans="1:6" ht="15" customHeight="1" x14ac:dyDescent="0.3">
      <c r="A2" s="217"/>
      <c r="B2" s="218"/>
      <c r="C2" s="218"/>
      <c r="D2" s="218"/>
      <c r="E2" s="218"/>
      <c r="F2" s="219"/>
    </row>
    <row r="3" spans="1:6" ht="15.75" customHeight="1" thickBot="1" x14ac:dyDescent="0.35">
      <c r="A3" s="220"/>
      <c r="B3" s="221"/>
      <c r="C3" s="221"/>
      <c r="D3" s="221"/>
      <c r="E3" s="221"/>
      <c r="F3" s="222"/>
    </row>
    <row r="4" spans="1:6" ht="15" thickBot="1" x14ac:dyDescent="0.35"/>
    <row r="5" spans="1:6" ht="20.100000000000001" customHeight="1" x14ac:dyDescent="0.3">
      <c r="A5" s="307" t="s">
        <v>228</v>
      </c>
      <c r="B5" s="308"/>
      <c r="C5" s="308"/>
      <c r="D5" s="308"/>
      <c r="E5" s="56" t="s">
        <v>53</v>
      </c>
      <c r="F5" s="140" t="s">
        <v>52</v>
      </c>
    </row>
    <row r="6" spans="1:6" ht="20.100000000000001" customHeight="1" x14ac:dyDescent="0.3">
      <c r="A6" s="10" t="s">
        <v>49</v>
      </c>
      <c r="B6" s="11"/>
      <c r="C6" s="12"/>
      <c r="D6" s="12"/>
      <c r="E6" s="18"/>
      <c r="F6" s="14"/>
    </row>
    <row r="7" spans="1:6" ht="20.100000000000001" customHeight="1" x14ac:dyDescent="0.3">
      <c r="A7" s="38" t="s">
        <v>39</v>
      </c>
      <c r="B7" s="39" t="s">
        <v>44</v>
      </c>
      <c r="C7" s="40"/>
      <c r="D7" s="40"/>
      <c r="E7" s="41" t="s">
        <v>64</v>
      </c>
      <c r="F7" s="42">
        <v>0.03</v>
      </c>
    </row>
    <row r="8" spans="1:6" ht="55.5" customHeight="1" x14ac:dyDescent="0.3">
      <c r="A8" s="298" t="s">
        <v>60</v>
      </c>
      <c r="B8" s="299"/>
      <c r="C8" s="299"/>
      <c r="D8" s="300"/>
      <c r="E8" s="19"/>
      <c r="F8" s="14"/>
    </row>
    <row r="9" spans="1:6" ht="20.25" customHeight="1" x14ac:dyDescent="0.3">
      <c r="A9" s="293" t="s">
        <v>61</v>
      </c>
      <c r="B9" s="294"/>
      <c r="C9" s="294"/>
      <c r="D9" s="295"/>
      <c r="E9" s="19"/>
      <c r="F9" s="14"/>
    </row>
    <row r="10" spans="1:6" ht="20.100000000000001" customHeight="1" x14ac:dyDescent="0.3">
      <c r="A10" s="43" t="s">
        <v>40</v>
      </c>
      <c r="B10" s="44" t="s">
        <v>45</v>
      </c>
      <c r="C10" s="45"/>
      <c r="D10" s="45"/>
      <c r="E10" s="46" t="s">
        <v>65</v>
      </c>
      <c r="F10" s="47">
        <v>0</v>
      </c>
    </row>
    <row r="11" spans="1:6" ht="50.25" customHeight="1" x14ac:dyDescent="0.3">
      <c r="A11" s="298" t="s">
        <v>56</v>
      </c>
      <c r="B11" s="299"/>
      <c r="C11" s="299"/>
      <c r="D11" s="300"/>
      <c r="E11" s="20"/>
      <c r="F11" s="15"/>
    </row>
    <row r="12" spans="1:6" ht="24" customHeight="1" x14ac:dyDescent="0.3">
      <c r="A12" s="301" t="s">
        <v>57</v>
      </c>
      <c r="B12" s="302"/>
      <c r="C12" s="22"/>
      <c r="D12" s="22"/>
      <c r="E12" s="20"/>
      <c r="F12" s="15"/>
    </row>
    <row r="13" spans="1:6" ht="25.5" customHeight="1" x14ac:dyDescent="0.3">
      <c r="A13" s="298" t="s">
        <v>58</v>
      </c>
      <c r="B13" s="299"/>
      <c r="C13" s="299"/>
      <c r="D13" s="300"/>
      <c r="E13" s="20"/>
      <c r="F13" s="15"/>
    </row>
    <row r="14" spans="1:6" ht="58.5" customHeight="1" x14ac:dyDescent="0.3">
      <c r="A14" s="298" t="s">
        <v>59</v>
      </c>
      <c r="B14" s="299"/>
      <c r="C14" s="299"/>
      <c r="D14" s="300"/>
      <c r="E14" s="20"/>
      <c r="F14" s="15"/>
    </row>
    <row r="15" spans="1:6" ht="20.100000000000001" customHeight="1" x14ac:dyDescent="0.3">
      <c r="A15" s="43" t="s">
        <v>42</v>
      </c>
      <c r="B15" s="44" t="s">
        <v>50</v>
      </c>
      <c r="C15" s="48"/>
      <c r="D15" s="48"/>
      <c r="E15" s="49"/>
      <c r="F15" s="47">
        <f>E17+E18+E19+E20</f>
        <v>0.14250000000000002</v>
      </c>
    </row>
    <row r="16" spans="1:6" ht="20.100000000000001" customHeight="1" x14ac:dyDescent="0.3">
      <c r="A16" s="296" t="s">
        <v>29</v>
      </c>
      <c r="B16" s="297"/>
      <c r="C16" s="297"/>
      <c r="D16" s="23"/>
      <c r="E16" s="24"/>
      <c r="F16" s="15"/>
    </row>
    <row r="17" spans="1:9" ht="20.100000000000001" customHeight="1" x14ac:dyDescent="0.3">
      <c r="A17" s="303" t="s">
        <v>30</v>
      </c>
      <c r="B17" s="304"/>
      <c r="C17" s="304"/>
      <c r="D17" s="13"/>
      <c r="E17" s="24">
        <v>9.2499999999999999E-2</v>
      </c>
      <c r="F17" s="15"/>
    </row>
    <row r="18" spans="1:9" ht="20.100000000000001" customHeight="1" x14ac:dyDescent="0.3">
      <c r="A18" s="303" t="s">
        <v>31</v>
      </c>
      <c r="B18" s="304"/>
      <c r="C18" s="304"/>
      <c r="D18" s="13"/>
      <c r="E18" s="24">
        <v>0.05</v>
      </c>
      <c r="F18" s="15"/>
    </row>
    <row r="19" spans="1:9" ht="20.100000000000001" customHeight="1" x14ac:dyDescent="0.3">
      <c r="A19" s="303" t="s">
        <v>32</v>
      </c>
      <c r="B19" s="304"/>
      <c r="C19" s="304"/>
      <c r="D19" s="13"/>
      <c r="E19" s="24">
        <f>ROUND(F21*25%,4)</f>
        <v>0</v>
      </c>
      <c r="F19" s="15"/>
    </row>
    <row r="20" spans="1:9" ht="20.100000000000001" customHeight="1" x14ac:dyDescent="0.3">
      <c r="A20" s="305" t="s">
        <v>33</v>
      </c>
      <c r="B20" s="306"/>
      <c r="C20" s="306"/>
      <c r="D20" s="13"/>
      <c r="E20" s="24">
        <f>+F21*9%</f>
        <v>0</v>
      </c>
      <c r="F20" s="15"/>
    </row>
    <row r="21" spans="1:9" ht="20.100000000000001" customHeight="1" x14ac:dyDescent="0.3">
      <c r="A21" s="43" t="s">
        <v>43</v>
      </c>
      <c r="B21" s="44" t="s">
        <v>46</v>
      </c>
      <c r="C21" s="50"/>
      <c r="D21" s="48"/>
      <c r="E21" s="46" t="s">
        <v>62</v>
      </c>
      <c r="F21" s="47">
        <v>0</v>
      </c>
    </row>
    <row r="22" spans="1:9" ht="90" customHeight="1" x14ac:dyDescent="0.3">
      <c r="A22" s="298" t="s">
        <v>63</v>
      </c>
      <c r="B22" s="299"/>
      <c r="C22" s="299"/>
      <c r="D22" s="300"/>
      <c r="E22" s="20"/>
      <c r="F22" s="15"/>
    </row>
    <row r="23" spans="1:9" ht="20.100000000000001" customHeight="1" x14ac:dyDescent="0.3">
      <c r="A23" s="43" t="s">
        <v>41</v>
      </c>
      <c r="B23" s="44" t="s">
        <v>47</v>
      </c>
      <c r="C23" s="48"/>
      <c r="D23" s="48"/>
      <c r="E23" s="46" t="s">
        <v>54</v>
      </c>
      <c r="F23" s="51">
        <v>0</v>
      </c>
    </row>
    <row r="24" spans="1:9" ht="49.95" customHeight="1" x14ac:dyDescent="0.3">
      <c r="A24" s="298" t="s">
        <v>55</v>
      </c>
      <c r="B24" s="299"/>
      <c r="C24" s="299"/>
      <c r="D24" s="300"/>
      <c r="E24" s="21"/>
      <c r="F24" s="16"/>
      <c r="I24" s="17"/>
    </row>
    <row r="25" spans="1:9" ht="20.100000000000001" customHeight="1" thickBot="1" x14ac:dyDescent="0.35">
      <c r="A25" s="52" t="s">
        <v>37</v>
      </c>
      <c r="B25" s="53"/>
      <c r="C25" s="53"/>
      <c r="D25" s="53"/>
      <c r="E25" s="54"/>
      <c r="F25" s="55">
        <f>(((1+F7+F10+F23))/(1-(F15+F21))-1)</f>
        <v>0.20116618075801762</v>
      </c>
    </row>
    <row r="26" spans="1:9" ht="20.100000000000001" customHeight="1" x14ac:dyDescent="0.3"/>
    <row r="27" spans="1:9" ht="20.100000000000001" customHeight="1" x14ac:dyDescent="0.3"/>
  </sheetData>
  <sheetProtection algorithmName="SHA-512" hashValue="jF+EjK7ILo5V8w0lQXvISNfRVESc0kVgoPK7aYGQ44dU6wX8xD6GdgZxBVK+3EcsvjKFkSBbZ3mTLbdVa6SVig==" saltValue="78tE4yQiSGCXfES/mXwegA==" spinCount="100000" sheet="1" objects="1" scenarios="1"/>
  <mergeCells count="15">
    <mergeCell ref="A9:D9"/>
    <mergeCell ref="A16:C16"/>
    <mergeCell ref="A1:F3"/>
    <mergeCell ref="A24:D24"/>
    <mergeCell ref="A8:D8"/>
    <mergeCell ref="A11:D11"/>
    <mergeCell ref="A22:D22"/>
    <mergeCell ref="A12:B12"/>
    <mergeCell ref="A17:C17"/>
    <mergeCell ref="A18:C18"/>
    <mergeCell ref="A19:C19"/>
    <mergeCell ref="A20:C20"/>
    <mergeCell ref="A13:D13"/>
    <mergeCell ref="A14:D14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&amp;L&amp;F&amp;C&amp;A&amp;R&amp;P/&amp;N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5"/>
  <sheetViews>
    <sheetView zoomScaleNormal="100" workbookViewId="0">
      <selection activeCell="E30" sqref="E30"/>
    </sheetView>
  </sheetViews>
  <sheetFormatPr defaultRowHeight="14.4" x14ac:dyDescent="0.3"/>
  <cols>
    <col min="1" max="1" width="8" style="114" customWidth="1"/>
    <col min="2" max="2" width="59.33203125" style="114" customWidth="1"/>
    <col min="3" max="3" width="12.6640625" style="116" customWidth="1"/>
    <col min="4" max="4" width="9.44140625" style="117" customWidth="1"/>
    <col min="5" max="5" width="15.6640625" style="118" customWidth="1"/>
    <col min="6" max="6" width="12.33203125" style="114" customWidth="1"/>
    <col min="7" max="7" width="9.109375" style="114"/>
    <col min="8" max="8" width="16" style="114" customWidth="1"/>
    <col min="9" max="9" width="23.44140625" style="114" customWidth="1"/>
    <col min="10" max="251" width="9.109375" style="114"/>
    <col min="252" max="252" width="8" style="114" customWidth="1"/>
    <col min="253" max="253" width="48.5546875" style="114" bestFit="1" customWidth="1"/>
    <col min="254" max="254" width="12.6640625" style="114" customWidth="1"/>
    <col min="255" max="255" width="9.44140625" style="114" customWidth="1"/>
    <col min="256" max="256" width="15.6640625" style="114" customWidth="1"/>
    <col min="257" max="257" width="12.33203125" style="114" customWidth="1"/>
    <col min="258" max="258" width="9.109375" style="114"/>
    <col min="259" max="259" width="16" style="114" customWidth="1"/>
    <col min="260" max="260" width="23.44140625" style="114" customWidth="1"/>
    <col min="261" max="261" width="10.5546875" style="114" bestFit="1" customWidth="1"/>
    <col min="262" max="263" width="10.109375" style="114" customWidth="1"/>
    <col min="264" max="264" width="26.88671875" style="114" customWidth="1"/>
    <col min="265" max="265" width="54.33203125" style="114" bestFit="1" customWidth="1"/>
    <col min="266" max="507" width="9.109375" style="114"/>
    <col min="508" max="508" width="8" style="114" customWidth="1"/>
    <col min="509" max="509" width="48.5546875" style="114" bestFit="1" customWidth="1"/>
    <col min="510" max="510" width="12.6640625" style="114" customWidth="1"/>
    <col min="511" max="511" width="9.44140625" style="114" customWidth="1"/>
    <col min="512" max="512" width="15.6640625" style="114" customWidth="1"/>
    <col min="513" max="513" width="12.33203125" style="114" customWidth="1"/>
    <col min="514" max="514" width="9.109375" style="114"/>
    <col min="515" max="515" width="16" style="114" customWidth="1"/>
    <col min="516" max="516" width="23.44140625" style="114" customWidth="1"/>
    <col min="517" max="517" width="10.5546875" style="114" bestFit="1" customWidth="1"/>
    <col min="518" max="519" width="10.109375" style="114" customWidth="1"/>
    <col min="520" max="520" width="26.88671875" style="114" customWidth="1"/>
    <col min="521" max="521" width="54.33203125" style="114" bestFit="1" customWidth="1"/>
    <col min="522" max="763" width="9.109375" style="114"/>
    <col min="764" max="764" width="8" style="114" customWidth="1"/>
    <col min="765" max="765" width="48.5546875" style="114" bestFit="1" customWidth="1"/>
    <col min="766" max="766" width="12.6640625" style="114" customWidth="1"/>
    <col min="767" max="767" width="9.44140625" style="114" customWidth="1"/>
    <col min="768" max="768" width="15.6640625" style="114" customWidth="1"/>
    <col min="769" max="769" width="12.33203125" style="114" customWidth="1"/>
    <col min="770" max="770" width="9.109375" style="114"/>
    <col min="771" max="771" width="16" style="114" customWidth="1"/>
    <col min="772" max="772" width="23.44140625" style="114" customWidth="1"/>
    <col min="773" max="773" width="10.5546875" style="114" bestFit="1" customWidth="1"/>
    <col min="774" max="775" width="10.109375" style="114" customWidth="1"/>
    <col min="776" max="776" width="26.88671875" style="114" customWidth="1"/>
    <col min="777" max="777" width="54.33203125" style="114" bestFit="1" customWidth="1"/>
    <col min="778" max="1019" width="9.109375" style="114"/>
    <col min="1020" max="1020" width="8" style="114" customWidth="1"/>
    <col min="1021" max="1021" width="48.5546875" style="114" bestFit="1" customWidth="1"/>
    <col min="1022" max="1022" width="12.6640625" style="114" customWidth="1"/>
    <col min="1023" max="1023" width="9.44140625" style="114" customWidth="1"/>
    <col min="1024" max="1024" width="15.6640625" style="114" customWidth="1"/>
    <col min="1025" max="1025" width="12.33203125" style="114" customWidth="1"/>
    <col min="1026" max="1026" width="9.109375" style="114"/>
    <col min="1027" max="1027" width="16" style="114" customWidth="1"/>
    <col min="1028" max="1028" width="23.44140625" style="114" customWidth="1"/>
    <col min="1029" max="1029" width="10.5546875" style="114" bestFit="1" customWidth="1"/>
    <col min="1030" max="1031" width="10.109375" style="114" customWidth="1"/>
    <col min="1032" max="1032" width="26.88671875" style="114" customWidth="1"/>
    <col min="1033" max="1033" width="54.33203125" style="114" bestFit="1" customWidth="1"/>
    <col min="1034" max="1275" width="9.109375" style="114"/>
    <col min="1276" max="1276" width="8" style="114" customWidth="1"/>
    <col min="1277" max="1277" width="48.5546875" style="114" bestFit="1" customWidth="1"/>
    <col min="1278" max="1278" width="12.6640625" style="114" customWidth="1"/>
    <col min="1279" max="1279" width="9.44140625" style="114" customWidth="1"/>
    <col min="1280" max="1280" width="15.6640625" style="114" customWidth="1"/>
    <col min="1281" max="1281" width="12.33203125" style="114" customWidth="1"/>
    <col min="1282" max="1282" width="9.109375" style="114"/>
    <col min="1283" max="1283" width="16" style="114" customWidth="1"/>
    <col min="1284" max="1284" width="23.44140625" style="114" customWidth="1"/>
    <col min="1285" max="1285" width="10.5546875" style="114" bestFit="1" customWidth="1"/>
    <col min="1286" max="1287" width="10.109375" style="114" customWidth="1"/>
    <col min="1288" max="1288" width="26.88671875" style="114" customWidth="1"/>
    <col min="1289" max="1289" width="54.33203125" style="114" bestFit="1" customWidth="1"/>
    <col min="1290" max="1531" width="9.109375" style="114"/>
    <col min="1532" max="1532" width="8" style="114" customWidth="1"/>
    <col min="1533" max="1533" width="48.5546875" style="114" bestFit="1" customWidth="1"/>
    <col min="1534" max="1534" width="12.6640625" style="114" customWidth="1"/>
    <col min="1535" max="1535" width="9.44140625" style="114" customWidth="1"/>
    <col min="1536" max="1536" width="15.6640625" style="114" customWidth="1"/>
    <col min="1537" max="1537" width="12.33203125" style="114" customWidth="1"/>
    <col min="1538" max="1538" width="9.109375" style="114"/>
    <col min="1539" max="1539" width="16" style="114" customWidth="1"/>
    <col min="1540" max="1540" width="23.44140625" style="114" customWidth="1"/>
    <col min="1541" max="1541" width="10.5546875" style="114" bestFit="1" customWidth="1"/>
    <col min="1542" max="1543" width="10.109375" style="114" customWidth="1"/>
    <col min="1544" max="1544" width="26.88671875" style="114" customWidth="1"/>
    <col min="1545" max="1545" width="54.33203125" style="114" bestFit="1" customWidth="1"/>
    <col min="1546" max="1787" width="9.109375" style="114"/>
    <col min="1788" max="1788" width="8" style="114" customWidth="1"/>
    <col min="1789" max="1789" width="48.5546875" style="114" bestFit="1" customWidth="1"/>
    <col min="1790" max="1790" width="12.6640625" style="114" customWidth="1"/>
    <col min="1791" max="1791" width="9.44140625" style="114" customWidth="1"/>
    <col min="1792" max="1792" width="15.6640625" style="114" customWidth="1"/>
    <col min="1793" max="1793" width="12.33203125" style="114" customWidth="1"/>
    <col min="1794" max="1794" width="9.109375" style="114"/>
    <col min="1795" max="1795" width="16" style="114" customWidth="1"/>
    <col min="1796" max="1796" width="23.44140625" style="114" customWidth="1"/>
    <col min="1797" max="1797" width="10.5546875" style="114" bestFit="1" customWidth="1"/>
    <col min="1798" max="1799" width="10.109375" style="114" customWidth="1"/>
    <col min="1800" max="1800" width="26.88671875" style="114" customWidth="1"/>
    <col min="1801" max="1801" width="54.33203125" style="114" bestFit="1" customWidth="1"/>
    <col min="1802" max="2043" width="9.109375" style="114"/>
    <col min="2044" max="2044" width="8" style="114" customWidth="1"/>
    <col min="2045" max="2045" width="48.5546875" style="114" bestFit="1" customWidth="1"/>
    <col min="2046" max="2046" width="12.6640625" style="114" customWidth="1"/>
    <col min="2047" max="2047" width="9.44140625" style="114" customWidth="1"/>
    <col min="2048" max="2048" width="15.6640625" style="114" customWidth="1"/>
    <col min="2049" max="2049" width="12.33203125" style="114" customWidth="1"/>
    <col min="2050" max="2050" width="9.109375" style="114"/>
    <col min="2051" max="2051" width="16" style="114" customWidth="1"/>
    <col min="2052" max="2052" width="23.44140625" style="114" customWidth="1"/>
    <col min="2053" max="2053" width="10.5546875" style="114" bestFit="1" customWidth="1"/>
    <col min="2054" max="2055" width="10.109375" style="114" customWidth="1"/>
    <col min="2056" max="2056" width="26.88671875" style="114" customWidth="1"/>
    <col min="2057" max="2057" width="54.33203125" style="114" bestFit="1" customWidth="1"/>
    <col min="2058" max="2299" width="9.109375" style="114"/>
    <col min="2300" max="2300" width="8" style="114" customWidth="1"/>
    <col min="2301" max="2301" width="48.5546875" style="114" bestFit="1" customWidth="1"/>
    <col min="2302" max="2302" width="12.6640625" style="114" customWidth="1"/>
    <col min="2303" max="2303" width="9.44140625" style="114" customWidth="1"/>
    <col min="2304" max="2304" width="15.6640625" style="114" customWidth="1"/>
    <col min="2305" max="2305" width="12.33203125" style="114" customWidth="1"/>
    <col min="2306" max="2306" width="9.109375" style="114"/>
    <col min="2307" max="2307" width="16" style="114" customWidth="1"/>
    <col min="2308" max="2308" width="23.44140625" style="114" customWidth="1"/>
    <col min="2309" max="2309" width="10.5546875" style="114" bestFit="1" customWidth="1"/>
    <col min="2310" max="2311" width="10.109375" style="114" customWidth="1"/>
    <col min="2312" max="2312" width="26.88671875" style="114" customWidth="1"/>
    <col min="2313" max="2313" width="54.33203125" style="114" bestFit="1" customWidth="1"/>
    <col min="2314" max="2555" width="9.109375" style="114"/>
    <col min="2556" max="2556" width="8" style="114" customWidth="1"/>
    <col min="2557" max="2557" width="48.5546875" style="114" bestFit="1" customWidth="1"/>
    <col min="2558" max="2558" width="12.6640625" style="114" customWidth="1"/>
    <col min="2559" max="2559" width="9.44140625" style="114" customWidth="1"/>
    <col min="2560" max="2560" width="15.6640625" style="114" customWidth="1"/>
    <col min="2561" max="2561" width="12.33203125" style="114" customWidth="1"/>
    <col min="2562" max="2562" width="9.109375" style="114"/>
    <col min="2563" max="2563" width="16" style="114" customWidth="1"/>
    <col min="2564" max="2564" width="23.44140625" style="114" customWidth="1"/>
    <col min="2565" max="2565" width="10.5546875" style="114" bestFit="1" customWidth="1"/>
    <col min="2566" max="2567" width="10.109375" style="114" customWidth="1"/>
    <col min="2568" max="2568" width="26.88671875" style="114" customWidth="1"/>
    <col min="2569" max="2569" width="54.33203125" style="114" bestFit="1" customWidth="1"/>
    <col min="2570" max="2811" width="9.109375" style="114"/>
    <col min="2812" max="2812" width="8" style="114" customWidth="1"/>
    <col min="2813" max="2813" width="48.5546875" style="114" bestFit="1" customWidth="1"/>
    <col min="2814" max="2814" width="12.6640625" style="114" customWidth="1"/>
    <col min="2815" max="2815" width="9.44140625" style="114" customWidth="1"/>
    <col min="2816" max="2816" width="15.6640625" style="114" customWidth="1"/>
    <col min="2817" max="2817" width="12.33203125" style="114" customWidth="1"/>
    <col min="2818" max="2818" width="9.109375" style="114"/>
    <col min="2819" max="2819" width="16" style="114" customWidth="1"/>
    <col min="2820" max="2820" width="23.44140625" style="114" customWidth="1"/>
    <col min="2821" max="2821" width="10.5546875" style="114" bestFit="1" customWidth="1"/>
    <col min="2822" max="2823" width="10.109375" style="114" customWidth="1"/>
    <col min="2824" max="2824" width="26.88671875" style="114" customWidth="1"/>
    <col min="2825" max="2825" width="54.33203125" style="114" bestFit="1" customWidth="1"/>
    <col min="2826" max="3067" width="9.109375" style="114"/>
    <col min="3068" max="3068" width="8" style="114" customWidth="1"/>
    <col min="3069" max="3069" width="48.5546875" style="114" bestFit="1" customWidth="1"/>
    <col min="3070" max="3070" width="12.6640625" style="114" customWidth="1"/>
    <col min="3071" max="3071" width="9.44140625" style="114" customWidth="1"/>
    <col min="3072" max="3072" width="15.6640625" style="114" customWidth="1"/>
    <col min="3073" max="3073" width="12.33203125" style="114" customWidth="1"/>
    <col min="3074" max="3074" width="9.109375" style="114"/>
    <col min="3075" max="3075" width="16" style="114" customWidth="1"/>
    <col min="3076" max="3076" width="23.44140625" style="114" customWidth="1"/>
    <col min="3077" max="3077" width="10.5546875" style="114" bestFit="1" customWidth="1"/>
    <col min="3078" max="3079" width="10.109375" style="114" customWidth="1"/>
    <col min="3080" max="3080" width="26.88671875" style="114" customWidth="1"/>
    <col min="3081" max="3081" width="54.33203125" style="114" bestFit="1" customWidth="1"/>
    <col min="3082" max="3323" width="9.109375" style="114"/>
    <col min="3324" max="3324" width="8" style="114" customWidth="1"/>
    <col min="3325" max="3325" width="48.5546875" style="114" bestFit="1" customWidth="1"/>
    <col min="3326" max="3326" width="12.6640625" style="114" customWidth="1"/>
    <col min="3327" max="3327" width="9.44140625" style="114" customWidth="1"/>
    <col min="3328" max="3328" width="15.6640625" style="114" customWidth="1"/>
    <col min="3329" max="3329" width="12.33203125" style="114" customWidth="1"/>
    <col min="3330" max="3330" width="9.109375" style="114"/>
    <col min="3331" max="3331" width="16" style="114" customWidth="1"/>
    <col min="3332" max="3332" width="23.44140625" style="114" customWidth="1"/>
    <col min="3333" max="3333" width="10.5546875" style="114" bestFit="1" customWidth="1"/>
    <col min="3334" max="3335" width="10.109375" style="114" customWidth="1"/>
    <col min="3336" max="3336" width="26.88671875" style="114" customWidth="1"/>
    <col min="3337" max="3337" width="54.33203125" style="114" bestFit="1" customWidth="1"/>
    <col min="3338" max="3579" width="9.109375" style="114"/>
    <col min="3580" max="3580" width="8" style="114" customWidth="1"/>
    <col min="3581" max="3581" width="48.5546875" style="114" bestFit="1" customWidth="1"/>
    <col min="3582" max="3582" width="12.6640625" style="114" customWidth="1"/>
    <col min="3583" max="3583" width="9.44140625" style="114" customWidth="1"/>
    <col min="3584" max="3584" width="15.6640625" style="114" customWidth="1"/>
    <col min="3585" max="3585" width="12.33203125" style="114" customWidth="1"/>
    <col min="3586" max="3586" width="9.109375" style="114"/>
    <col min="3587" max="3587" width="16" style="114" customWidth="1"/>
    <col min="3588" max="3588" width="23.44140625" style="114" customWidth="1"/>
    <col min="3589" max="3589" width="10.5546875" style="114" bestFit="1" customWidth="1"/>
    <col min="3590" max="3591" width="10.109375" style="114" customWidth="1"/>
    <col min="3592" max="3592" width="26.88671875" style="114" customWidth="1"/>
    <col min="3593" max="3593" width="54.33203125" style="114" bestFit="1" customWidth="1"/>
    <col min="3594" max="3835" width="9.109375" style="114"/>
    <col min="3836" max="3836" width="8" style="114" customWidth="1"/>
    <col min="3837" max="3837" width="48.5546875" style="114" bestFit="1" customWidth="1"/>
    <col min="3838" max="3838" width="12.6640625" style="114" customWidth="1"/>
    <col min="3839" max="3839" width="9.44140625" style="114" customWidth="1"/>
    <col min="3840" max="3840" width="15.6640625" style="114" customWidth="1"/>
    <col min="3841" max="3841" width="12.33203125" style="114" customWidth="1"/>
    <col min="3842" max="3842" width="9.109375" style="114"/>
    <col min="3843" max="3843" width="16" style="114" customWidth="1"/>
    <col min="3844" max="3844" width="23.44140625" style="114" customWidth="1"/>
    <col min="3845" max="3845" width="10.5546875" style="114" bestFit="1" customWidth="1"/>
    <col min="3846" max="3847" width="10.109375" style="114" customWidth="1"/>
    <col min="3848" max="3848" width="26.88671875" style="114" customWidth="1"/>
    <col min="3849" max="3849" width="54.33203125" style="114" bestFit="1" customWidth="1"/>
    <col min="3850" max="4091" width="9.109375" style="114"/>
    <col min="4092" max="4092" width="8" style="114" customWidth="1"/>
    <col min="4093" max="4093" width="48.5546875" style="114" bestFit="1" customWidth="1"/>
    <col min="4094" max="4094" width="12.6640625" style="114" customWidth="1"/>
    <col min="4095" max="4095" width="9.44140625" style="114" customWidth="1"/>
    <col min="4096" max="4096" width="15.6640625" style="114" customWidth="1"/>
    <col min="4097" max="4097" width="12.33203125" style="114" customWidth="1"/>
    <col min="4098" max="4098" width="9.109375" style="114"/>
    <col min="4099" max="4099" width="16" style="114" customWidth="1"/>
    <col min="4100" max="4100" width="23.44140625" style="114" customWidth="1"/>
    <col min="4101" max="4101" width="10.5546875" style="114" bestFit="1" customWidth="1"/>
    <col min="4102" max="4103" width="10.109375" style="114" customWidth="1"/>
    <col min="4104" max="4104" width="26.88671875" style="114" customWidth="1"/>
    <col min="4105" max="4105" width="54.33203125" style="114" bestFit="1" customWidth="1"/>
    <col min="4106" max="4347" width="9.109375" style="114"/>
    <col min="4348" max="4348" width="8" style="114" customWidth="1"/>
    <col min="4349" max="4349" width="48.5546875" style="114" bestFit="1" customWidth="1"/>
    <col min="4350" max="4350" width="12.6640625" style="114" customWidth="1"/>
    <col min="4351" max="4351" width="9.44140625" style="114" customWidth="1"/>
    <col min="4352" max="4352" width="15.6640625" style="114" customWidth="1"/>
    <col min="4353" max="4353" width="12.33203125" style="114" customWidth="1"/>
    <col min="4354" max="4354" width="9.109375" style="114"/>
    <col min="4355" max="4355" width="16" style="114" customWidth="1"/>
    <col min="4356" max="4356" width="23.44140625" style="114" customWidth="1"/>
    <col min="4357" max="4357" width="10.5546875" style="114" bestFit="1" customWidth="1"/>
    <col min="4358" max="4359" width="10.109375" style="114" customWidth="1"/>
    <col min="4360" max="4360" width="26.88671875" style="114" customWidth="1"/>
    <col min="4361" max="4361" width="54.33203125" style="114" bestFit="1" customWidth="1"/>
    <col min="4362" max="4603" width="9.109375" style="114"/>
    <col min="4604" max="4604" width="8" style="114" customWidth="1"/>
    <col min="4605" max="4605" width="48.5546875" style="114" bestFit="1" customWidth="1"/>
    <col min="4606" max="4606" width="12.6640625" style="114" customWidth="1"/>
    <col min="4607" max="4607" width="9.44140625" style="114" customWidth="1"/>
    <col min="4608" max="4608" width="15.6640625" style="114" customWidth="1"/>
    <col min="4609" max="4609" width="12.33203125" style="114" customWidth="1"/>
    <col min="4610" max="4610" width="9.109375" style="114"/>
    <col min="4611" max="4611" width="16" style="114" customWidth="1"/>
    <col min="4612" max="4612" width="23.44140625" style="114" customWidth="1"/>
    <col min="4613" max="4613" width="10.5546875" style="114" bestFit="1" customWidth="1"/>
    <col min="4614" max="4615" width="10.109375" style="114" customWidth="1"/>
    <col min="4616" max="4616" width="26.88671875" style="114" customWidth="1"/>
    <col min="4617" max="4617" width="54.33203125" style="114" bestFit="1" customWidth="1"/>
    <col min="4618" max="4859" width="9.109375" style="114"/>
    <col min="4860" max="4860" width="8" style="114" customWidth="1"/>
    <col min="4861" max="4861" width="48.5546875" style="114" bestFit="1" customWidth="1"/>
    <col min="4862" max="4862" width="12.6640625" style="114" customWidth="1"/>
    <col min="4863" max="4863" width="9.44140625" style="114" customWidth="1"/>
    <col min="4864" max="4864" width="15.6640625" style="114" customWidth="1"/>
    <col min="4865" max="4865" width="12.33203125" style="114" customWidth="1"/>
    <col min="4866" max="4866" width="9.109375" style="114"/>
    <col min="4867" max="4867" width="16" style="114" customWidth="1"/>
    <col min="4868" max="4868" width="23.44140625" style="114" customWidth="1"/>
    <col min="4869" max="4869" width="10.5546875" style="114" bestFit="1" customWidth="1"/>
    <col min="4870" max="4871" width="10.109375" style="114" customWidth="1"/>
    <col min="4872" max="4872" width="26.88671875" style="114" customWidth="1"/>
    <col min="4873" max="4873" width="54.33203125" style="114" bestFit="1" customWidth="1"/>
    <col min="4874" max="5115" width="9.109375" style="114"/>
    <col min="5116" max="5116" width="8" style="114" customWidth="1"/>
    <col min="5117" max="5117" width="48.5546875" style="114" bestFit="1" customWidth="1"/>
    <col min="5118" max="5118" width="12.6640625" style="114" customWidth="1"/>
    <col min="5119" max="5119" width="9.44140625" style="114" customWidth="1"/>
    <col min="5120" max="5120" width="15.6640625" style="114" customWidth="1"/>
    <col min="5121" max="5121" width="12.33203125" style="114" customWidth="1"/>
    <col min="5122" max="5122" width="9.109375" style="114"/>
    <col min="5123" max="5123" width="16" style="114" customWidth="1"/>
    <col min="5124" max="5124" width="23.44140625" style="114" customWidth="1"/>
    <col min="5125" max="5125" width="10.5546875" style="114" bestFit="1" customWidth="1"/>
    <col min="5126" max="5127" width="10.109375" style="114" customWidth="1"/>
    <col min="5128" max="5128" width="26.88671875" style="114" customWidth="1"/>
    <col min="5129" max="5129" width="54.33203125" style="114" bestFit="1" customWidth="1"/>
    <col min="5130" max="5371" width="9.109375" style="114"/>
    <col min="5372" max="5372" width="8" style="114" customWidth="1"/>
    <col min="5373" max="5373" width="48.5546875" style="114" bestFit="1" customWidth="1"/>
    <col min="5374" max="5374" width="12.6640625" style="114" customWidth="1"/>
    <col min="5375" max="5375" width="9.44140625" style="114" customWidth="1"/>
    <col min="5376" max="5376" width="15.6640625" style="114" customWidth="1"/>
    <col min="5377" max="5377" width="12.33203125" style="114" customWidth="1"/>
    <col min="5378" max="5378" width="9.109375" style="114"/>
    <col min="5379" max="5379" width="16" style="114" customWidth="1"/>
    <col min="5380" max="5380" width="23.44140625" style="114" customWidth="1"/>
    <col min="5381" max="5381" width="10.5546875" style="114" bestFit="1" customWidth="1"/>
    <col min="5382" max="5383" width="10.109375" style="114" customWidth="1"/>
    <col min="5384" max="5384" width="26.88671875" style="114" customWidth="1"/>
    <col min="5385" max="5385" width="54.33203125" style="114" bestFit="1" customWidth="1"/>
    <col min="5386" max="5627" width="9.109375" style="114"/>
    <col min="5628" max="5628" width="8" style="114" customWidth="1"/>
    <col min="5629" max="5629" width="48.5546875" style="114" bestFit="1" customWidth="1"/>
    <col min="5630" max="5630" width="12.6640625" style="114" customWidth="1"/>
    <col min="5631" max="5631" width="9.44140625" style="114" customWidth="1"/>
    <col min="5632" max="5632" width="15.6640625" style="114" customWidth="1"/>
    <col min="5633" max="5633" width="12.33203125" style="114" customWidth="1"/>
    <col min="5634" max="5634" width="9.109375" style="114"/>
    <col min="5635" max="5635" width="16" style="114" customWidth="1"/>
    <col min="5636" max="5636" width="23.44140625" style="114" customWidth="1"/>
    <col min="5637" max="5637" width="10.5546875" style="114" bestFit="1" customWidth="1"/>
    <col min="5638" max="5639" width="10.109375" style="114" customWidth="1"/>
    <col min="5640" max="5640" width="26.88671875" style="114" customWidth="1"/>
    <col min="5641" max="5641" width="54.33203125" style="114" bestFit="1" customWidth="1"/>
    <col min="5642" max="5883" width="9.109375" style="114"/>
    <col min="5884" max="5884" width="8" style="114" customWidth="1"/>
    <col min="5885" max="5885" width="48.5546875" style="114" bestFit="1" customWidth="1"/>
    <col min="5886" max="5886" width="12.6640625" style="114" customWidth="1"/>
    <col min="5887" max="5887" width="9.44140625" style="114" customWidth="1"/>
    <col min="5888" max="5888" width="15.6640625" style="114" customWidth="1"/>
    <col min="5889" max="5889" width="12.33203125" style="114" customWidth="1"/>
    <col min="5890" max="5890" width="9.109375" style="114"/>
    <col min="5891" max="5891" width="16" style="114" customWidth="1"/>
    <col min="5892" max="5892" width="23.44140625" style="114" customWidth="1"/>
    <col min="5893" max="5893" width="10.5546875" style="114" bestFit="1" customWidth="1"/>
    <col min="5894" max="5895" width="10.109375" style="114" customWidth="1"/>
    <col min="5896" max="5896" width="26.88671875" style="114" customWidth="1"/>
    <col min="5897" max="5897" width="54.33203125" style="114" bestFit="1" customWidth="1"/>
    <col min="5898" max="6139" width="9.109375" style="114"/>
    <col min="6140" max="6140" width="8" style="114" customWidth="1"/>
    <col min="6141" max="6141" width="48.5546875" style="114" bestFit="1" customWidth="1"/>
    <col min="6142" max="6142" width="12.6640625" style="114" customWidth="1"/>
    <col min="6143" max="6143" width="9.44140625" style="114" customWidth="1"/>
    <col min="6144" max="6144" width="15.6640625" style="114" customWidth="1"/>
    <col min="6145" max="6145" width="12.33203125" style="114" customWidth="1"/>
    <col min="6146" max="6146" width="9.109375" style="114"/>
    <col min="6147" max="6147" width="16" style="114" customWidth="1"/>
    <col min="6148" max="6148" width="23.44140625" style="114" customWidth="1"/>
    <col min="6149" max="6149" width="10.5546875" style="114" bestFit="1" customWidth="1"/>
    <col min="6150" max="6151" width="10.109375" style="114" customWidth="1"/>
    <col min="6152" max="6152" width="26.88671875" style="114" customWidth="1"/>
    <col min="6153" max="6153" width="54.33203125" style="114" bestFit="1" customWidth="1"/>
    <col min="6154" max="6395" width="9.109375" style="114"/>
    <col min="6396" max="6396" width="8" style="114" customWidth="1"/>
    <col min="6397" max="6397" width="48.5546875" style="114" bestFit="1" customWidth="1"/>
    <col min="6398" max="6398" width="12.6640625" style="114" customWidth="1"/>
    <col min="6399" max="6399" width="9.44140625" style="114" customWidth="1"/>
    <col min="6400" max="6400" width="15.6640625" style="114" customWidth="1"/>
    <col min="6401" max="6401" width="12.33203125" style="114" customWidth="1"/>
    <col min="6402" max="6402" width="9.109375" style="114"/>
    <col min="6403" max="6403" width="16" style="114" customWidth="1"/>
    <col min="6404" max="6404" width="23.44140625" style="114" customWidth="1"/>
    <col min="6405" max="6405" width="10.5546875" style="114" bestFit="1" customWidth="1"/>
    <col min="6406" max="6407" width="10.109375" style="114" customWidth="1"/>
    <col min="6408" max="6408" width="26.88671875" style="114" customWidth="1"/>
    <col min="6409" max="6409" width="54.33203125" style="114" bestFit="1" customWidth="1"/>
    <col min="6410" max="6651" width="9.109375" style="114"/>
    <col min="6652" max="6652" width="8" style="114" customWidth="1"/>
    <col min="6653" max="6653" width="48.5546875" style="114" bestFit="1" customWidth="1"/>
    <col min="6654" max="6654" width="12.6640625" style="114" customWidth="1"/>
    <col min="6655" max="6655" width="9.44140625" style="114" customWidth="1"/>
    <col min="6656" max="6656" width="15.6640625" style="114" customWidth="1"/>
    <col min="6657" max="6657" width="12.33203125" style="114" customWidth="1"/>
    <col min="6658" max="6658" width="9.109375" style="114"/>
    <col min="6659" max="6659" width="16" style="114" customWidth="1"/>
    <col min="6660" max="6660" width="23.44140625" style="114" customWidth="1"/>
    <col min="6661" max="6661" width="10.5546875" style="114" bestFit="1" customWidth="1"/>
    <col min="6662" max="6663" width="10.109375" style="114" customWidth="1"/>
    <col min="6664" max="6664" width="26.88671875" style="114" customWidth="1"/>
    <col min="6665" max="6665" width="54.33203125" style="114" bestFit="1" customWidth="1"/>
    <col min="6666" max="6907" width="9.109375" style="114"/>
    <col min="6908" max="6908" width="8" style="114" customWidth="1"/>
    <col min="6909" max="6909" width="48.5546875" style="114" bestFit="1" customWidth="1"/>
    <col min="6910" max="6910" width="12.6640625" style="114" customWidth="1"/>
    <col min="6911" max="6911" width="9.44140625" style="114" customWidth="1"/>
    <col min="6912" max="6912" width="15.6640625" style="114" customWidth="1"/>
    <col min="6913" max="6913" width="12.33203125" style="114" customWidth="1"/>
    <col min="6914" max="6914" width="9.109375" style="114"/>
    <col min="6915" max="6915" width="16" style="114" customWidth="1"/>
    <col min="6916" max="6916" width="23.44140625" style="114" customWidth="1"/>
    <col min="6917" max="6917" width="10.5546875" style="114" bestFit="1" customWidth="1"/>
    <col min="6918" max="6919" width="10.109375" style="114" customWidth="1"/>
    <col min="6920" max="6920" width="26.88671875" style="114" customWidth="1"/>
    <col min="6921" max="6921" width="54.33203125" style="114" bestFit="1" customWidth="1"/>
    <col min="6922" max="7163" width="9.109375" style="114"/>
    <col min="7164" max="7164" width="8" style="114" customWidth="1"/>
    <col min="7165" max="7165" width="48.5546875" style="114" bestFit="1" customWidth="1"/>
    <col min="7166" max="7166" width="12.6640625" style="114" customWidth="1"/>
    <col min="7167" max="7167" width="9.44140625" style="114" customWidth="1"/>
    <col min="7168" max="7168" width="15.6640625" style="114" customWidth="1"/>
    <col min="7169" max="7169" width="12.33203125" style="114" customWidth="1"/>
    <col min="7170" max="7170" width="9.109375" style="114"/>
    <col min="7171" max="7171" width="16" style="114" customWidth="1"/>
    <col min="7172" max="7172" width="23.44140625" style="114" customWidth="1"/>
    <col min="7173" max="7173" width="10.5546875" style="114" bestFit="1" customWidth="1"/>
    <col min="7174" max="7175" width="10.109375" style="114" customWidth="1"/>
    <col min="7176" max="7176" width="26.88671875" style="114" customWidth="1"/>
    <col min="7177" max="7177" width="54.33203125" style="114" bestFit="1" customWidth="1"/>
    <col min="7178" max="7419" width="9.109375" style="114"/>
    <col min="7420" max="7420" width="8" style="114" customWidth="1"/>
    <col min="7421" max="7421" width="48.5546875" style="114" bestFit="1" customWidth="1"/>
    <col min="7422" max="7422" width="12.6640625" style="114" customWidth="1"/>
    <col min="7423" max="7423" width="9.44140625" style="114" customWidth="1"/>
    <col min="7424" max="7424" width="15.6640625" style="114" customWidth="1"/>
    <col min="7425" max="7425" width="12.33203125" style="114" customWidth="1"/>
    <col min="7426" max="7426" width="9.109375" style="114"/>
    <col min="7427" max="7427" width="16" style="114" customWidth="1"/>
    <col min="7428" max="7428" width="23.44140625" style="114" customWidth="1"/>
    <col min="7429" max="7429" width="10.5546875" style="114" bestFit="1" customWidth="1"/>
    <col min="7430" max="7431" width="10.109375" style="114" customWidth="1"/>
    <col min="7432" max="7432" width="26.88671875" style="114" customWidth="1"/>
    <col min="7433" max="7433" width="54.33203125" style="114" bestFit="1" customWidth="1"/>
    <col min="7434" max="7675" width="9.109375" style="114"/>
    <col min="7676" max="7676" width="8" style="114" customWidth="1"/>
    <col min="7677" max="7677" width="48.5546875" style="114" bestFit="1" customWidth="1"/>
    <col min="7678" max="7678" width="12.6640625" style="114" customWidth="1"/>
    <col min="7679" max="7679" width="9.44140625" style="114" customWidth="1"/>
    <col min="7680" max="7680" width="15.6640625" style="114" customWidth="1"/>
    <col min="7681" max="7681" width="12.33203125" style="114" customWidth="1"/>
    <col min="7682" max="7682" width="9.109375" style="114"/>
    <col min="7683" max="7683" width="16" style="114" customWidth="1"/>
    <col min="7684" max="7684" width="23.44140625" style="114" customWidth="1"/>
    <col min="7685" max="7685" width="10.5546875" style="114" bestFit="1" customWidth="1"/>
    <col min="7686" max="7687" width="10.109375" style="114" customWidth="1"/>
    <col min="7688" max="7688" width="26.88671875" style="114" customWidth="1"/>
    <col min="7689" max="7689" width="54.33203125" style="114" bestFit="1" customWidth="1"/>
    <col min="7690" max="7931" width="9.109375" style="114"/>
    <col min="7932" max="7932" width="8" style="114" customWidth="1"/>
    <col min="7933" max="7933" width="48.5546875" style="114" bestFit="1" customWidth="1"/>
    <col min="7934" max="7934" width="12.6640625" style="114" customWidth="1"/>
    <col min="7935" max="7935" width="9.44140625" style="114" customWidth="1"/>
    <col min="7936" max="7936" width="15.6640625" style="114" customWidth="1"/>
    <col min="7937" max="7937" width="12.33203125" style="114" customWidth="1"/>
    <col min="7938" max="7938" width="9.109375" style="114"/>
    <col min="7939" max="7939" width="16" style="114" customWidth="1"/>
    <col min="7940" max="7940" width="23.44140625" style="114" customWidth="1"/>
    <col min="7941" max="7941" width="10.5546875" style="114" bestFit="1" customWidth="1"/>
    <col min="7942" max="7943" width="10.109375" style="114" customWidth="1"/>
    <col min="7944" max="7944" width="26.88671875" style="114" customWidth="1"/>
    <col min="7945" max="7945" width="54.33203125" style="114" bestFit="1" customWidth="1"/>
    <col min="7946" max="8187" width="9.109375" style="114"/>
    <col min="8188" max="8188" width="8" style="114" customWidth="1"/>
    <col min="8189" max="8189" width="48.5546875" style="114" bestFit="1" customWidth="1"/>
    <col min="8190" max="8190" width="12.6640625" style="114" customWidth="1"/>
    <col min="8191" max="8191" width="9.44140625" style="114" customWidth="1"/>
    <col min="8192" max="8192" width="15.6640625" style="114" customWidth="1"/>
    <col min="8193" max="8193" width="12.33203125" style="114" customWidth="1"/>
    <col min="8194" max="8194" width="9.109375" style="114"/>
    <col min="8195" max="8195" width="16" style="114" customWidth="1"/>
    <col min="8196" max="8196" width="23.44140625" style="114" customWidth="1"/>
    <col min="8197" max="8197" width="10.5546875" style="114" bestFit="1" customWidth="1"/>
    <col min="8198" max="8199" width="10.109375" style="114" customWidth="1"/>
    <col min="8200" max="8200" width="26.88671875" style="114" customWidth="1"/>
    <col min="8201" max="8201" width="54.33203125" style="114" bestFit="1" customWidth="1"/>
    <col min="8202" max="8443" width="9.109375" style="114"/>
    <col min="8444" max="8444" width="8" style="114" customWidth="1"/>
    <col min="8445" max="8445" width="48.5546875" style="114" bestFit="1" customWidth="1"/>
    <col min="8446" max="8446" width="12.6640625" style="114" customWidth="1"/>
    <col min="8447" max="8447" width="9.44140625" style="114" customWidth="1"/>
    <col min="8448" max="8448" width="15.6640625" style="114" customWidth="1"/>
    <col min="8449" max="8449" width="12.33203125" style="114" customWidth="1"/>
    <col min="8450" max="8450" width="9.109375" style="114"/>
    <col min="8451" max="8451" width="16" style="114" customWidth="1"/>
    <col min="8452" max="8452" width="23.44140625" style="114" customWidth="1"/>
    <col min="8453" max="8453" width="10.5546875" style="114" bestFit="1" customWidth="1"/>
    <col min="8454" max="8455" width="10.109375" style="114" customWidth="1"/>
    <col min="8456" max="8456" width="26.88671875" style="114" customWidth="1"/>
    <col min="8457" max="8457" width="54.33203125" style="114" bestFit="1" customWidth="1"/>
    <col min="8458" max="8699" width="9.109375" style="114"/>
    <col min="8700" max="8700" width="8" style="114" customWidth="1"/>
    <col min="8701" max="8701" width="48.5546875" style="114" bestFit="1" customWidth="1"/>
    <col min="8702" max="8702" width="12.6640625" style="114" customWidth="1"/>
    <col min="8703" max="8703" width="9.44140625" style="114" customWidth="1"/>
    <col min="8704" max="8704" width="15.6640625" style="114" customWidth="1"/>
    <col min="8705" max="8705" width="12.33203125" style="114" customWidth="1"/>
    <col min="8706" max="8706" width="9.109375" style="114"/>
    <col min="8707" max="8707" width="16" style="114" customWidth="1"/>
    <col min="8708" max="8708" width="23.44140625" style="114" customWidth="1"/>
    <col min="8709" max="8709" width="10.5546875" style="114" bestFit="1" customWidth="1"/>
    <col min="8710" max="8711" width="10.109375" style="114" customWidth="1"/>
    <col min="8712" max="8712" width="26.88671875" style="114" customWidth="1"/>
    <col min="8713" max="8713" width="54.33203125" style="114" bestFit="1" customWidth="1"/>
    <col min="8714" max="8955" width="9.109375" style="114"/>
    <col min="8956" max="8956" width="8" style="114" customWidth="1"/>
    <col min="8957" max="8957" width="48.5546875" style="114" bestFit="1" customWidth="1"/>
    <col min="8958" max="8958" width="12.6640625" style="114" customWidth="1"/>
    <col min="8959" max="8959" width="9.44140625" style="114" customWidth="1"/>
    <col min="8960" max="8960" width="15.6640625" style="114" customWidth="1"/>
    <col min="8961" max="8961" width="12.33203125" style="114" customWidth="1"/>
    <col min="8962" max="8962" width="9.109375" style="114"/>
    <col min="8963" max="8963" width="16" style="114" customWidth="1"/>
    <col min="8964" max="8964" width="23.44140625" style="114" customWidth="1"/>
    <col min="8965" max="8965" width="10.5546875" style="114" bestFit="1" customWidth="1"/>
    <col min="8966" max="8967" width="10.109375" style="114" customWidth="1"/>
    <col min="8968" max="8968" width="26.88671875" style="114" customWidth="1"/>
    <col min="8969" max="8969" width="54.33203125" style="114" bestFit="1" customWidth="1"/>
    <col min="8970" max="9211" width="9.109375" style="114"/>
    <col min="9212" max="9212" width="8" style="114" customWidth="1"/>
    <col min="9213" max="9213" width="48.5546875" style="114" bestFit="1" customWidth="1"/>
    <col min="9214" max="9214" width="12.6640625" style="114" customWidth="1"/>
    <col min="9215" max="9215" width="9.44140625" style="114" customWidth="1"/>
    <col min="9216" max="9216" width="15.6640625" style="114" customWidth="1"/>
    <col min="9217" max="9217" width="12.33203125" style="114" customWidth="1"/>
    <col min="9218" max="9218" width="9.109375" style="114"/>
    <col min="9219" max="9219" width="16" style="114" customWidth="1"/>
    <col min="9220" max="9220" width="23.44140625" style="114" customWidth="1"/>
    <col min="9221" max="9221" width="10.5546875" style="114" bestFit="1" customWidth="1"/>
    <col min="9222" max="9223" width="10.109375" style="114" customWidth="1"/>
    <col min="9224" max="9224" width="26.88671875" style="114" customWidth="1"/>
    <col min="9225" max="9225" width="54.33203125" style="114" bestFit="1" customWidth="1"/>
    <col min="9226" max="9467" width="9.109375" style="114"/>
    <col min="9468" max="9468" width="8" style="114" customWidth="1"/>
    <col min="9469" max="9469" width="48.5546875" style="114" bestFit="1" customWidth="1"/>
    <col min="9470" max="9470" width="12.6640625" style="114" customWidth="1"/>
    <col min="9471" max="9471" width="9.44140625" style="114" customWidth="1"/>
    <col min="9472" max="9472" width="15.6640625" style="114" customWidth="1"/>
    <col min="9473" max="9473" width="12.33203125" style="114" customWidth="1"/>
    <col min="9474" max="9474" width="9.109375" style="114"/>
    <col min="9475" max="9475" width="16" style="114" customWidth="1"/>
    <col min="9476" max="9476" width="23.44140625" style="114" customWidth="1"/>
    <col min="9477" max="9477" width="10.5546875" style="114" bestFit="1" customWidth="1"/>
    <col min="9478" max="9479" width="10.109375" style="114" customWidth="1"/>
    <col min="9480" max="9480" width="26.88671875" style="114" customWidth="1"/>
    <col min="9481" max="9481" width="54.33203125" style="114" bestFit="1" customWidth="1"/>
    <col min="9482" max="9723" width="9.109375" style="114"/>
    <col min="9724" max="9724" width="8" style="114" customWidth="1"/>
    <col min="9725" max="9725" width="48.5546875" style="114" bestFit="1" customWidth="1"/>
    <col min="9726" max="9726" width="12.6640625" style="114" customWidth="1"/>
    <col min="9727" max="9727" width="9.44140625" style="114" customWidth="1"/>
    <col min="9728" max="9728" width="15.6640625" style="114" customWidth="1"/>
    <col min="9729" max="9729" width="12.33203125" style="114" customWidth="1"/>
    <col min="9730" max="9730" width="9.109375" style="114"/>
    <col min="9731" max="9731" width="16" style="114" customWidth="1"/>
    <col min="9732" max="9732" width="23.44140625" style="114" customWidth="1"/>
    <col min="9733" max="9733" width="10.5546875" style="114" bestFit="1" customWidth="1"/>
    <col min="9734" max="9735" width="10.109375" style="114" customWidth="1"/>
    <col min="9736" max="9736" width="26.88671875" style="114" customWidth="1"/>
    <col min="9737" max="9737" width="54.33203125" style="114" bestFit="1" customWidth="1"/>
    <col min="9738" max="9979" width="9.109375" style="114"/>
    <col min="9980" max="9980" width="8" style="114" customWidth="1"/>
    <col min="9981" max="9981" width="48.5546875" style="114" bestFit="1" customWidth="1"/>
    <col min="9982" max="9982" width="12.6640625" style="114" customWidth="1"/>
    <col min="9983" max="9983" width="9.44140625" style="114" customWidth="1"/>
    <col min="9984" max="9984" width="15.6640625" style="114" customWidth="1"/>
    <col min="9985" max="9985" width="12.33203125" style="114" customWidth="1"/>
    <col min="9986" max="9986" width="9.109375" style="114"/>
    <col min="9987" max="9987" width="16" style="114" customWidth="1"/>
    <col min="9988" max="9988" width="23.44140625" style="114" customWidth="1"/>
    <col min="9989" max="9989" width="10.5546875" style="114" bestFit="1" customWidth="1"/>
    <col min="9990" max="9991" width="10.109375" style="114" customWidth="1"/>
    <col min="9992" max="9992" width="26.88671875" style="114" customWidth="1"/>
    <col min="9993" max="9993" width="54.33203125" style="114" bestFit="1" customWidth="1"/>
    <col min="9994" max="10235" width="9.109375" style="114"/>
    <col min="10236" max="10236" width="8" style="114" customWidth="1"/>
    <col min="10237" max="10237" width="48.5546875" style="114" bestFit="1" customWidth="1"/>
    <col min="10238" max="10238" width="12.6640625" style="114" customWidth="1"/>
    <col min="10239" max="10239" width="9.44140625" style="114" customWidth="1"/>
    <col min="10240" max="10240" width="15.6640625" style="114" customWidth="1"/>
    <col min="10241" max="10241" width="12.33203125" style="114" customWidth="1"/>
    <col min="10242" max="10242" width="9.109375" style="114"/>
    <col min="10243" max="10243" width="16" style="114" customWidth="1"/>
    <col min="10244" max="10244" width="23.44140625" style="114" customWidth="1"/>
    <col min="10245" max="10245" width="10.5546875" style="114" bestFit="1" customWidth="1"/>
    <col min="10246" max="10247" width="10.109375" style="114" customWidth="1"/>
    <col min="10248" max="10248" width="26.88671875" style="114" customWidth="1"/>
    <col min="10249" max="10249" width="54.33203125" style="114" bestFit="1" customWidth="1"/>
    <col min="10250" max="10491" width="9.109375" style="114"/>
    <col min="10492" max="10492" width="8" style="114" customWidth="1"/>
    <col min="10493" max="10493" width="48.5546875" style="114" bestFit="1" customWidth="1"/>
    <col min="10494" max="10494" width="12.6640625" style="114" customWidth="1"/>
    <col min="10495" max="10495" width="9.44140625" style="114" customWidth="1"/>
    <col min="10496" max="10496" width="15.6640625" style="114" customWidth="1"/>
    <col min="10497" max="10497" width="12.33203125" style="114" customWidth="1"/>
    <col min="10498" max="10498" width="9.109375" style="114"/>
    <col min="10499" max="10499" width="16" style="114" customWidth="1"/>
    <col min="10500" max="10500" width="23.44140625" style="114" customWidth="1"/>
    <col min="10501" max="10501" width="10.5546875" style="114" bestFit="1" customWidth="1"/>
    <col min="10502" max="10503" width="10.109375" style="114" customWidth="1"/>
    <col min="10504" max="10504" width="26.88671875" style="114" customWidth="1"/>
    <col min="10505" max="10505" width="54.33203125" style="114" bestFit="1" customWidth="1"/>
    <col min="10506" max="10747" width="9.109375" style="114"/>
    <col min="10748" max="10748" width="8" style="114" customWidth="1"/>
    <col min="10749" max="10749" width="48.5546875" style="114" bestFit="1" customWidth="1"/>
    <col min="10750" max="10750" width="12.6640625" style="114" customWidth="1"/>
    <col min="10751" max="10751" width="9.44140625" style="114" customWidth="1"/>
    <col min="10752" max="10752" width="15.6640625" style="114" customWidth="1"/>
    <col min="10753" max="10753" width="12.33203125" style="114" customWidth="1"/>
    <col min="10754" max="10754" width="9.109375" style="114"/>
    <col min="10755" max="10755" width="16" style="114" customWidth="1"/>
    <col min="10756" max="10756" width="23.44140625" style="114" customWidth="1"/>
    <col min="10757" max="10757" width="10.5546875" style="114" bestFit="1" customWidth="1"/>
    <col min="10758" max="10759" width="10.109375" style="114" customWidth="1"/>
    <col min="10760" max="10760" width="26.88671875" style="114" customWidth="1"/>
    <col min="10761" max="10761" width="54.33203125" style="114" bestFit="1" customWidth="1"/>
    <col min="10762" max="11003" width="9.109375" style="114"/>
    <col min="11004" max="11004" width="8" style="114" customWidth="1"/>
    <col min="11005" max="11005" width="48.5546875" style="114" bestFit="1" customWidth="1"/>
    <col min="11006" max="11006" width="12.6640625" style="114" customWidth="1"/>
    <col min="11007" max="11007" width="9.44140625" style="114" customWidth="1"/>
    <col min="11008" max="11008" width="15.6640625" style="114" customWidth="1"/>
    <col min="11009" max="11009" width="12.33203125" style="114" customWidth="1"/>
    <col min="11010" max="11010" width="9.109375" style="114"/>
    <col min="11011" max="11011" width="16" style="114" customWidth="1"/>
    <col min="11012" max="11012" width="23.44140625" style="114" customWidth="1"/>
    <col min="11013" max="11013" width="10.5546875" style="114" bestFit="1" customWidth="1"/>
    <col min="11014" max="11015" width="10.109375" style="114" customWidth="1"/>
    <col min="11016" max="11016" width="26.88671875" style="114" customWidth="1"/>
    <col min="11017" max="11017" width="54.33203125" style="114" bestFit="1" customWidth="1"/>
    <col min="11018" max="11259" width="9.109375" style="114"/>
    <col min="11260" max="11260" width="8" style="114" customWidth="1"/>
    <col min="11261" max="11261" width="48.5546875" style="114" bestFit="1" customWidth="1"/>
    <col min="11262" max="11262" width="12.6640625" style="114" customWidth="1"/>
    <col min="11263" max="11263" width="9.44140625" style="114" customWidth="1"/>
    <col min="11264" max="11264" width="15.6640625" style="114" customWidth="1"/>
    <col min="11265" max="11265" width="12.33203125" style="114" customWidth="1"/>
    <col min="11266" max="11266" width="9.109375" style="114"/>
    <col min="11267" max="11267" width="16" style="114" customWidth="1"/>
    <col min="11268" max="11268" width="23.44140625" style="114" customWidth="1"/>
    <col min="11269" max="11269" width="10.5546875" style="114" bestFit="1" customWidth="1"/>
    <col min="11270" max="11271" width="10.109375" style="114" customWidth="1"/>
    <col min="11272" max="11272" width="26.88671875" style="114" customWidth="1"/>
    <col min="11273" max="11273" width="54.33203125" style="114" bestFit="1" customWidth="1"/>
    <col min="11274" max="11515" width="9.109375" style="114"/>
    <col min="11516" max="11516" width="8" style="114" customWidth="1"/>
    <col min="11517" max="11517" width="48.5546875" style="114" bestFit="1" customWidth="1"/>
    <col min="11518" max="11518" width="12.6640625" style="114" customWidth="1"/>
    <col min="11519" max="11519" width="9.44140625" style="114" customWidth="1"/>
    <col min="11520" max="11520" width="15.6640625" style="114" customWidth="1"/>
    <col min="11521" max="11521" width="12.33203125" style="114" customWidth="1"/>
    <col min="11522" max="11522" width="9.109375" style="114"/>
    <col min="11523" max="11523" width="16" style="114" customWidth="1"/>
    <col min="11524" max="11524" width="23.44140625" style="114" customWidth="1"/>
    <col min="11525" max="11525" width="10.5546875" style="114" bestFit="1" customWidth="1"/>
    <col min="11526" max="11527" width="10.109375" style="114" customWidth="1"/>
    <col min="11528" max="11528" width="26.88671875" style="114" customWidth="1"/>
    <col min="11529" max="11529" width="54.33203125" style="114" bestFit="1" customWidth="1"/>
    <col min="11530" max="11771" width="9.109375" style="114"/>
    <col min="11772" max="11772" width="8" style="114" customWidth="1"/>
    <col min="11773" max="11773" width="48.5546875" style="114" bestFit="1" customWidth="1"/>
    <col min="11774" max="11774" width="12.6640625" style="114" customWidth="1"/>
    <col min="11775" max="11775" width="9.44140625" style="114" customWidth="1"/>
    <col min="11776" max="11776" width="15.6640625" style="114" customWidth="1"/>
    <col min="11777" max="11777" width="12.33203125" style="114" customWidth="1"/>
    <col min="11778" max="11778" width="9.109375" style="114"/>
    <col min="11779" max="11779" width="16" style="114" customWidth="1"/>
    <col min="11780" max="11780" width="23.44140625" style="114" customWidth="1"/>
    <col min="11781" max="11781" width="10.5546875" style="114" bestFit="1" customWidth="1"/>
    <col min="11782" max="11783" width="10.109375" style="114" customWidth="1"/>
    <col min="11784" max="11784" width="26.88671875" style="114" customWidth="1"/>
    <col min="11785" max="11785" width="54.33203125" style="114" bestFit="1" customWidth="1"/>
    <col min="11786" max="12027" width="9.109375" style="114"/>
    <col min="12028" max="12028" width="8" style="114" customWidth="1"/>
    <col min="12029" max="12029" width="48.5546875" style="114" bestFit="1" customWidth="1"/>
    <col min="12030" max="12030" width="12.6640625" style="114" customWidth="1"/>
    <col min="12031" max="12031" width="9.44140625" style="114" customWidth="1"/>
    <col min="12032" max="12032" width="15.6640625" style="114" customWidth="1"/>
    <col min="12033" max="12033" width="12.33203125" style="114" customWidth="1"/>
    <col min="12034" max="12034" width="9.109375" style="114"/>
    <col min="12035" max="12035" width="16" style="114" customWidth="1"/>
    <col min="12036" max="12036" width="23.44140625" style="114" customWidth="1"/>
    <col min="12037" max="12037" width="10.5546875" style="114" bestFit="1" customWidth="1"/>
    <col min="12038" max="12039" width="10.109375" style="114" customWidth="1"/>
    <col min="12040" max="12040" width="26.88671875" style="114" customWidth="1"/>
    <col min="12041" max="12041" width="54.33203125" style="114" bestFit="1" customWidth="1"/>
    <col min="12042" max="12283" width="9.109375" style="114"/>
    <col min="12284" max="12284" width="8" style="114" customWidth="1"/>
    <col min="12285" max="12285" width="48.5546875" style="114" bestFit="1" customWidth="1"/>
    <col min="12286" max="12286" width="12.6640625" style="114" customWidth="1"/>
    <col min="12287" max="12287" width="9.44140625" style="114" customWidth="1"/>
    <col min="12288" max="12288" width="15.6640625" style="114" customWidth="1"/>
    <col min="12289" max="12289" width="12.33203125" style="114" customWidth="1"/>
    <col min="12290" max="12290" width="9.109375" style="114"/>
    <col min="12291" max="12291" width="16" style="114" customWidth="1"/>
    <col min="12292" max="12292" width="23.44140625" style="114" customWidth="1"/>
    <col min="12293" max="12293" width="10.5546875" style="114" bestFit="1" customWidth="1"/>
    <col min="12294" max="12295" width="10.109375" style="114" customWidth="1"/>
    <col min="12296" max="12296" width="26.88671875" style="114" customWidth="1"/>
    <col min="12297" max="12297" width="54.33203125" style="114" bestFit="1" customWidth="1"/>
    <col min="12298" max="12539" width="9.109375" style="114"/>
    <col min="12540" max="12540" width="8" style="114" customWidth="1"/>
    <col min="12541" max="12541" width="48.5546875" style="114" bestFit="1" customWidth="1"/>
    <col min="12542" max="12542" width="12.6640625" style="114" customWidth="1"/>
    <col min="12543" max="12543" width="9.44140625" style="114" customWidth="1"/>
    <col min="12544" max="12544" width="15.6640625" style="114" customWidth="1"/>
    <col min="12545" max="12545" width="12.33203125" style="114" customWidth="1"/>
    <col min="12546" max="12546" width="9.109375" style="114"/>
    <col min="12547" max="12547" width="16" style="114" customWidth="1"/>
    <col min="12548" max="12548" width="23.44140625" style="114" customWidth="1"/>
    <col min="12549" max="12549" width="10.5546875" style="114" bestFit="1" customWidth="1"/>
    <col min="12550" max="12551" width="10.109375" style="114" customWidth="1"/>
    <col min="12552" max="12552" width="26.88671875" style="114" customWidth="1"/>
    <col min="12553" max="12553" width="54.33203125" style="114" bestFit="1" customWidth="1"/>
    <col min="12554" max="12795" width="9.109375" style="114"/>
    <col min="12796" max="12796" width="8" style="114" customWidth="1"/>
    <col min="12797" max="12797" width="48.5546875" style="114" bestFit="1" customWidth="1"/>
    <col min="12798" max="12798" width="12.6640625" style="114" customWidth="1"/>
    <col min="12799" max="12799" width="9.44140625" style="114" customWidth="1"/>
    <col min="12800" max="12800" width="15.6640625" style="114" customWidth="1"/>
    <col min="12801" max="12801" width="12.33203125" style="114" customWidth="1"/>
    <col min="12802" max="12802" width="9.109375" style="114"/>
    <col min="12803" max="12803" width="16" style="114" customWidth="1"/>
    <col min="12804" max="12804" width="23.44140625" style="114" customWidth="1"/>
    <col min="12805" max="12805" width="10.5546875" style="114" bestFit="1" customWidth="1"/>
    <col min="12806" max="12807" width="10.109375" style="114" customWidth="1"/>
    <col min="12808" max="12808" width="26.88671875" style="114" customWidth="1"/>
    <col min="12809" max="12809" width="54.33203125" style="114" bestFit="1" customWidth="1"/>
    <col min="12810" max="13051" width="9.109375" style="114"/>
    <col min="13052" max="13052" width="8" style="114" customWidth="1"/>
    <col min="13053" max="13053" width="48.5546875" style="114" bestFit="1" customWidth="1"/>
    <col min="13054" max="13054" width="12.6640625" style="114" customWidth="1"/>
    <col min="13055" max="13055" width="9.44140625" style="114" customWidth="1"/>
    <col min="13056" max="13056" width="15.6640625" style="114" customWidth="1"/>
    <col min="13057" max="13057" width="12.33203125" style="114" customWidth="1"/>
    <col min="13058" max="13058" width="9.109375" style="114"/>
    <col min="13059" max="13059" width="16" style="114" customWidth="1"/>
    <col min="13060" max="13060" width="23.44140625" style="114" customWidth="1"/>
    <col min="13061" max="13061" width="10.5546875" style="114" bestFit="1" customWidth="1"/>
    <col min="13062" max="13063" width="10.109375" style="114" customWidth="1"/>
    <col min="13064" max="13064" width="26.88671875" style="114" customWidth="1"/>
    <col min="13065" max="13065" width="54.33203125" style="114" bestFit="1" customWidth="1"/>
    <col min="13066" max="13307" width="9.109375" style="114"/>
    <col min="13308" max="13308" width="8" style="114" customWidth="1"/>
    <col min="13309" max="13309" width="48.5546875" style="114" bestFit="1" customWidth="1"/>
    <col min="13310" max="13310" width="12.6640625" style="114" customWidth="1"/>
    <col min="13311" max="13311" width="9.44140625" style="114" customWidth="1"/>
    <col min="13312" max="13312" width="15.6640625" style="114" customWidth="1"/>
    <col min="13313" max="13313" width="12.33203125" style="114" customWidth="1"/>
    <col min="13314" max="13314" width="9.109375" style="114"/>
    <col min="13315" max="13315" width="16" style="114" customWidth="1"/>
    <col min="13316" max="13316" width="23.44140625" style="114" customWidth="1"/>
    <col min="13317" max="13317" width="10.5546875" style="114" bestFit="1" customWidth="1"/>
    <col min="13318" max="13319" width="10.109375" style="114" customWidth="1"/>
    <col min="13320" max="13320" width="26.88671875" style="114" customWidth="1"/>
    <col min="13321" max="13321" width="54.33203125" style="114" bestFit="1" customWidth="1"/>
    <col min="13322" max="13563" width="9.109375" style="114"/>
    <col min="13564" max="13564" width="8" style="114" customWidth="1"/>
    <col min="13565" max="13565" width="48.5546875" style="114" bestFit="1" customWidth="1"/>
    <col min="13566" max="13566" width="12.6640625" style="114" customWidth="1"/>
    <col min="13567" max="13567" width="9.44140625" style="114" customWidth="1"/>
    <col min="13568" max="13568" width="15.6640625" style="114" customWidth="1"/>
    <col min="13569" max="13569" width="12.33203125" style="114" customWidth="1"/>
    <col min="13570" max="13570" width="9.109375" style="114"/>
    <col min="13571" max="13571" width="16" style="114" customWidth="1"/>
    <col min="13572" max="13572" width="23.44140625" style="114" customWidth="1"/>
    <col min="13573" max="13573" width="10.5546875" style="114" bestFit="1" customWidth="1"/>
    <col min="13574" max="13575" width="10.109375" style="114" customWidth="1"/>
    <col min="13576" max="13576" width="26.88671875" style="114" customWidth="1"/>
    <col min="13577" max="13577" width="54.33203125" style="114" bestFit="1" customWidth="1"/>
    <col min="13578" max="13819" width="9.109375" style="114"/>
    <col min="13820" max="13820" width="8" style="114" customWidth="1"/>
    <col min="13821" max="13821" width="48.5546875" style="114" bestFit="1" customWidth="1"/>
    <col min="13822" max="13822" width="12.6640625" style="114" customWidth="1"/>
    <col min="13823" max="13823" width="9.44140625" style="114" customWidth="1"/>
    <col min="13824" max="13824" width="15.6640625" style="114" customWidth="1"/>
    <col min="13825" max="13825" width="12.33203125" style="114" customWidth="1"/>
    <col min="13826" max="13826" width="9.109375" style="114"/>
    <col min="13827" max="13827" width="16" style="114" customWidth="1"/>
    <col min="13828" max="13828" width="23.44140625" style="114" customWidth="1"/>
    <col min="13829" max="13829" width="10.5546875" style="114" bestFit="1" customWidth="1"/>
    <col min="13830" max="13831" width="10.109375" style="114" customWidth="1"/>
    <col min="13832" max="13832" width="26.88671875" style="114" customWidth="1"/>
    <col min="13833" max="13833" width="54.33203125" style="114" bestFit="1" customWidth="1"/>
    <col min="13834" max="14075" width="9.109375" style="114"/>
    <col min="14076" max="14076" width="8" style="114" customWidth="1"/>
    <col min="14077" max="14077" width="48.5546875" style="114" bestFit="1" customWidth="1"/>
    <col min="14078" max="14078" width="12.6640625" style="114" customWidth="1"/>
    <col min="14079" max="14079" width="9.44140625" style="114" customWidth="1"/>
    <col min="14080" max="14080" width="15.6640625" style="114" customWidth="1"/>
    <col min="14081" max="14081" width="12.33203125" style="114" customWidth="1"/>
    <col min="14082" max="14082" width="9.109375" style="114"/>
    <col min="14083" max="14083" width="16" style="114" customWidth="1"/>
    <col min="14084" max="14084" width="23.44140625" style="114" customWidth="1"/>
    <col min="14085" max="14085" width="10.5546875" style="114" bestFit="1" customWidth="1"/>
    <col min="14086" max="14087" width="10.109375" style="114" customWidth="1"/>
    <col min="14088" max="14088" width="26.88671875" style="114" customWidth="1"/>
    <col min="14089" max="14089" width="54.33203125" style="114" bestFit="1" customWidth="1"/>
    <col min="14090" max="14331" width="9.109375" style="114"/>
    <col min="14332" max="14332" width="8" style="114" customWidth="1"/>
    <col min="14333" max="14333" width="48.5546875" style="114" bestFit="1" customWidth="1"/>
    <col min="14334" max="14334" width="12.6640625" style="114" customWidth="1"/>
    <col min="14335" max="14335" width="9.44140625" style="114" customWidth="1"/>
    <col min="14336" max="14336" width="15.6640625" style="114" customWidth="1"/>
    <col min="14337" max="14337" width="12.33203125" style="114" customWidth="1"/>
    <col min="14338" max="14338" width="9.109375" style="114"/>
    <col min="14339" max="14339" width="16" style="114" customWidth="1"/>
    <col min="14340" max="14340" width="23.44140625" style="114" customWidth="1"/>
    <col min="14341" max="14341" width="10.5546875" style="114" bestFit="1" customWidth="1"/>
    <col min="14342" max="14343" width="10.109375" style="114" customWidth="1"/>
    <col min="14344" max="14344" width="26.88671875" style="114" customWidth="1"/>
    <col min="14345" max="14345" width="54.33203125" style="114" bestFit="1" customWidth="1"/>
    <col min="14346" max="14587" width="9.109375" style="114"/>
    <col min="14588" max="14588" width="8" style="114" customWidth="1"/>
    <col min="14589" max="14589" width="48.5546875" style="114" bestFit="1" customWidth="1"/>
    <col min="14590" max="14590" width="12.6640625" style="114" customWidth="1"/>
    <col min="14591" max="14591" width="9.44140625" style="114" customWidth="1"/>
    <col min="14592" max="14592" width="15.6640625" style="114" customWidth="1"/>
    <col min="14593" max="14593" width="12.33203125" style="114" customWidth="1"/>
    <col min="14594" max="14594" width="9.109375" style="114"/>
    <col min="14595" max="14595" width="16" style="114" customWidth="1"/>
    <col min="14596" max="14596" width="23.44140625" style="114" customWidth="1"/>
    <col min="14597" max="14597" width="10.5546875" style="114" bestFit="1" customWidth="1"/>
    <col min="14598" max="14599" width="10.109375" style="114" customWidth="1"/>
    <col min="14600" max="14600" width="26.88671875" style="114" customWidth="1"/>
    <col min="14601" max="14601" width="54.33203125" style="114" bestFit="1" customWidth="1"/>
    <col min="14602" max="14843" width="9.109375" style="114"/>
    <col min="14844" max="14844" width="8" style="114" customWidth="1"/>
    <col min="14845" max="14845" width="48.5546875" style="114" bestFit="1" customWidth="1"/>
    <col min="14846" max="14846" width="12.6640625" style="114" customWidth="1"/>
    <col min="14847" max="14847" width="9.44140625" style="114" customWidth="1"/>
    <col min="14848" max="14848" width="15.6640625" style="114" customWidth="1"/>
    <col min="14849" max="14849" width="12.33203125" style="114" customWidth="1"/>
    <col min="14850" max="14850" width="9.109375" style="114"/>
    <col min="14851" max="14851" width="16" style="114" customWidth="1"/>
    <col min="14852" max="14852" width="23.44140625" style="114" customWidth="1"/>
    <col min="14853" max="14853" width="10.5546875" style="114" bestFit="1" customWidth="1"/>
    <col min="14854" max="14855" width="10.109375" style="114" customWidth="1"/>
    <col min="14856" max="14856" width="26.88671875" style="114" customWidth="1"/>
    <col min="14857" max="14857" width="54.33203125" style="114" bestFit="1" customWidth="1"/>
    <col min="14858" max="15099" width="9.109375" style="114"/>
    <col min="15100" max="15100" width="8" style="114" customWidth="1"/>
    <col min="15101" max="15101" width="48.5546875" style="114" bestFit="1" customWidth="1"/>
    <col min="15102" max="15102" width="12.6640625" style="114" customWidth="1"/>
    <col min="15103" max="15103" width="9.44140625" style="114" customWidth="1"/>
    <col min="15104" max="15104" width="15.6640625" style="114" customWidth="1"/>
    <col min="15105" max="15105" width="12.33203125" style="114" customWidth="1"/>
    <col min="15106" max="15106" width="9.109375" style="114"/>
    <col min="15107" max="15107" width="16" style="114" customWidth="1"/>
    <col min="15108" max="15108" width="23.44140625" style="114" customWidth="1"/>
    <col min="15109" max="15109" width="10.5546875" style="114" bestFit="1" customWidth="1"/>
    <col min="15110" max="15111" width="10.109375" style="114" customWidth="1"/>
    <col min="15112" max="15112" width="26.88671875" style="114" customWidth="1"/>
    <col min="15113" max="15113" width="54.33203125" style="114" bestFit="1" customWidth="1"/>
    <col min="15114" max="15355" width="9.109375" style="114"/>
    <col min="15356" max="15356" width="8" style="114" customWidth="1"/>
    <col min="15357" max="15357" width="48.5546875" style="114" bestFit="1" customWidth="1"/>
    <col min="15358" max="15358" width="12.6640625" style="114" customWidth="1"/>
    <col min="15359" max="15359" width="9.44140625" style="114" customWidth="1"/>
    <col min="15360" max="15360" width="15.6640625" style="114" customWidth="1"/>
    <col min="15361" max="15361" width="12.33203125" style="114" customWidth="1"/>
    <col min="15362" max="15362" width="9.109375" style="114"/>
    <col min="15363" max="15363" width="16" style="114" customWidth="1"/>
    <col min="15364" max="15364" width="23.44140625" style="114" customWidth="1"/>
    <col min="15365" max="15365" width="10.5546875" style="114" bestFit="1" customWidth="1"/>
    <col min="15366" max="15367" width="10.109375" style="114" customWidth="1"/>
    <col min="15368" max="15368" width="26.88671875" style="114" customWidth="1"/>
    <col min="15369" max="15369" width="54.33203125" style="114" bestFit="1" customWidth="1"/>
    <col min="15370" max="15611" width="9.109375" style="114"/>
    <col min="15612" max="15612" width="8" style="114" customWidth="1"/>
    <col min="15613" max="15613" width="48.5546875" style="114" bestFit="1" customWidth="1"/>
    <col min="15614" max="15614" width="12.6640625" style="114" customWidth="1"/>
    <col min="15615" max="15615" width="9.44140625" style="114" customWidth="1"/>
    <col min="15616" max="15616" width="15.6640625" style="114" customWidth="1"/>
    <col min="15617" max="15617" width="12.33203125" style="114" customWidth="1"/>
    <col min="15618" max="15618" width="9.109375" style="114"/>
    <col min="15619" max="15619" width="16" style="114" customWidth="1"/>
    <col min="15620" max="15620" width="23.44140625" style="114" customWidth="1"/>
    <col min="15621" max="15621" width="10.5546875" style="114" bestFit="1" customWidth="1"/>
    <col min="15622" max="15623" width="10.109375" style="114" customWidth="1"/>
    <col min="15624" max="15624" width="26.88671875" style="114" customWidth="1"/>
    <col min="15625" max="15625" width="54.33203125" style="114" bestFit="1" customWidth="1"/>
    <col min="15626" max="15867" width="9.109375" style="114"/>
    <col min="15868" max="15868" width="8" style="114" customWidth="1"/>
    <col min="15869" max="15869" width="48.5546875" style="114" bestFit="1" customWidth="1"/>
    <col min="15870" max="15870" width="12.6640625" style="114" customWidth="1"/>
    <col min="15871" max="15871" width="9.44140625" style="114" customWidth="1"/>
    <col min="15872" max="15872" width="15.6640625" style="114" customWidth="1"/>
    <col min="15873" max="15873" width="12.33203125" style="114" customWidth="1"/>
    <col min="15874" max="15874" width="9.109375" style="114"/>
    <col min="15875" max="15875" width="16" style="114" customWidth="1"/>
    <col min="15876" max="15876" width="23.44140625" style="114" customWidth="1"/>
    <col min="15877" max="15877" width="10.5546875" style="114" bestFit="1" customWidth="1"/>
    <col min="15878" max="15879" width="10.109375" style="114" customWidth="1"/>
    <col min="15880" max="15880" width="26.88671875" style="114" customWidth="1"/>
    <col min="15881" max="15881" width="54.33203125" style="114" bestFit="1" customWidth="1"/>
    <col min="15882" max="16123" width="9.109375" style="114"/>
    <col min="16124" max="16124" width="8" style="114" customWidth="1"/>
    <col min="16125" max="16125" width="48.5546875" style="114" bestFit="1" customWidth="1"/>
    <col min="16126" max="16126" width="12.6640625" style="114" customWidth="1"/>
    <col min="16127" max="16127" width="9.44140625" style="114" customWidth="1"/>
    <col min="16128" max="16128" width="15.6640625" style="114" customWidth="1"/>
    <col min="16129" max="16129" width="12.33203125" style="114" customWidth="1"/>
    <col min="16130" max="16130" width="9.109375" style="114"/>
    <col min="16131" max="16131" width="16" style="114" customWidth="1"/>
    <col min="16132" max="16132" width="23.44140625" style="114" customWidth="1"/>
    <col min="16133" max="16133" width="10.5546875" style="114" bestFit="1" customWidth="1"/>
    <col min="16134" max="16135" width="10.109375" style="114" customWidth="1"/>
    <col min="16136" max="16136" width="26.88671875" style="114" customWidth="1"/>
    <col min="16137" max="16137" width="54.33203125" style="114" bestFit="1" customWidth="1"/>
    <col min="16138" max="16384" width="9.109375" style="114"/>
  </cols>
  <sheetData>
    <row r="1" spans="1:9" ht="20.100000000000001" customHeight="1" x14ac:dyDescent="0.3">
      <c r="A1" s="309" t="str">
        <f>Capa!B5</f>
        <v>Nome do município</v>
      </c>
      <c r="B1" s="310"/>
      <c r="C1" s="310"/>
      <c r="D1" s="311"/>
      <c r="E1" s="112"/>
      <c r="F1" s="112"/>
      <c r="G1" s="112"/>
      <c r="H1" s="112"/>
      <c r="I1" s="113"/>
    </row>
    <row r="2" spans="1:9" ht="20.100000000000001" customHeight="1" thickBot="1" x14ac:dyDescent="0.35">
      <c r="A2" s="312"/>
      <c r="B2" s="313"/>
      <c r="C2" s="313"/>
      <c r="D2" s="314"/>
      <c r="E2" s="112"/>
      <c r="F2" s="112"/>
      <c r="G2" s="112"/>
      <c r="H2" s="112"/>
      <c r="I2" s="113"/>
    </row>
    <row r="3" spans="1:9" ht="20.100000000000001" customHeight="1" x14ac:dyDescent="0.3">
      <c r="B3" s="115"/>
      <c r="C3" s="112"/>
      <c r="D3" s="112"/>
      <c r="E3" s="112"/>
      <c r="F3" s="112"/>
      <c r="G3" s="112"/>
      <c r="H3" s="112"/>
      <c r="I3" s="113"/>
    </row>
    <row r="4" spans="1:9" ht="20.100000000000001" customHeight="1" x14ac:dyDescent="0.3">
      <c r="A4" s="315" t="s">
        <v>230</v>
      </c>
      <c r="B4" s="315"/>
      <c r="C4" s="315"/>
      <c r="D4" s="315"/>
      <c r="E4" s="113"/>
      <c r="F4" s="113"/>
      <c r="G4" s="113"/>
      <c r="H4" s="113"/>
      <c r="I4" s="113"/>
    </row>
    <row r="5" spans="1:9" ht="9.9" customHeight="1" x14ac:dyDescent="0.3">
      <c r="B5" s="138"/>
      <c r="C5" s="139"/>
      <c r="D5" s="139"/>
      <c r="E5" s="138"/>
      <c r="F5" s="138"/>
      <c r="G5" s="138"/>
      <c r="H5" s="138"/>
      <c r="I5" s="138"/>
    </row>
    <row r="6" spans="1:9" ht="9.9" customHeight="1" x14ac:dyDescent="0.3"/>
    <row r="7" spans="1:9" ht="20.100000000000001" customHeight="1" x14ac:dyDescent="0.3">
      <c r="A7" s="119">
        <v>1</v>
      </c>
      <c r="B7" s="119" t="s">
        <v>166</v>
      </c>
      <c r="C7" s="120">
        <f>SUM(C8:C15)</f>
        <v>36.800000000000004</v>
      </c>
      <c r="D7" s="121" t="s">
        <v>48</v>
      </c>
    </row>
    <row r="8" spans="1:9" ht="20.100000000000001" customHeight="1" x14ac:dyDescent="0.3">
      <c r="B8" s="118" t="s">
        <v>167</v>
      </c>
      <c r="C8" s="122">
        <v>20</v>
      </c>
      <c r="D8" s="117" t="s">
        <v>48</v>
      </c>
    </row>
    <row r="9" spans="1:9" ht="20.100000000000001" customHeight="1" x14ac:dyDescent="0.3">
      <c r="B9" s="118" t="s">
        <v>168</v>
      </c>
      <c r="C9" s="123">
        <v>8</v>
      </c>
      <c r="D9" s="117" t="s">
        <v>48</v>
      </c>
    </row>
    <row r="10" spans="1:9" ht="20.100000000000001" customHeight="1" x14ac:dyDescent="0.3">
      <c r="B10" s="118" t="s">
        <v>169</v>
      </c>
      <c r="C10" s="122">
        <v>1.5</v>
      </c>
      <c r="D10" s="117" t="s">
        <v>48</v>
      </c>
    </row>
    <row r="11" spans="1:9" ht="20.100000000000001" customHeight="1" x14ac:dyDescent="0.3">
      <c r="B11" s="118" t="s">
        <v>170</v>
      </c>
      <c r="C11" s="122">
        <v>1</v>
      </c>
      <c r="D11" s="117" t="s">
        <v>48</v>
      </c>
    </row>
    <row r="12" spans="1:9" ht="20.100000000000001" customHeight="1" x14ac:dyDescent="0.3">
      <c r="B12" s="118" t="s">
        <v>171</v>
      </c>
      <c r="C12" s="122">
        <v>2.5</v>
      </c>
      <c r="D12" s="117" t="s">
        <v>48</v>
      </c>
    </row>
    <row r="13" spans="1:9" ht="20.100000000000001" customHeight="1" x14ac:dyDescent="0.3">
      <c r="B13" s="118" t="s">
        <v>172</v>
      </c>
      <c r="C13" s="122">
        <v>0.6</v>
      </c>
      <c r="D13" s="117" t="s">
        <v>48</v>
      </c>
    </row>
    <row r="14" spans="1:9" ht="20.100000000000001" customHeight="1" x14ac:dyDescent="0.3">
      <c r="B14" s="118" t="s">
        <v>173</v>
      </c>
      <c r="C14" s="122">
        <v>0.2</v>
      </c>
      <c r="D14" s="117" t="s">
        <v>48</v>
      </c>
    </row>
    <row r="15" spans="1:9" ht="20.100000000000001" customHeight="1" x14ac:dyDescent="0.3">
      <c r="B15" s="118" t="s">
        <v>174</v>
      </c>
      <c r="C15" s="122">
        <v>3</v>
      </c>
      <c r="D15" s="117" t="s">
        <v>48</v>
      </c>
    </row>
    <row r="16" spans="1:9" ht="19.5" customHeight="1" x14ac:dyDescent="0.3">
      <c r="A16" s="124"/>
      <c r="B16" s="125" t="s">
        <v>1</v>
      </c>
      <c r="C16" s="120">
        <f>SUM(C8:C15)</f>
        <v>36.800000000000004</v>
      </c>
      <c r="D16" s="126" t="s">
        <v>48</v>
      </c>
    </row>
    <row r="17" spans="1:4" ht="9.9" customHeight="1" x14ac:dyDescent="0.3"/>
    <row r="18" spans="1:4" ht="20.100000000000001" customHeight="1" x14ac:dyDescent="0.3">
      <c r="A18" s="119">
        <v>2</v>
      </c>
      <c r="B18" s="119" t="s">
        <v>175</v>
      </c>
      <c r="C18" s="120">
        <f>C25</f>
        <v>11.711555102902</v>
      </c>
      <c r="D18" s="126" t="s">
        <v>48</v>
      </c>
    </row>
    <row r="19" spans="1:4" ht="20.100000000000001" customHeight="1" x14ac:dyDescent="0.3">
      <c r="B19" s="118" t="s">
        <v>176</v>
      </c>
      <c r="C19" s="122">
        <f>('Horas trabalhadas'!C24/'Horas trabalhadas'!C45)*100</f>
        <v>9.1817716522933157</v>
      </c>
      <c r="D19" s="117" t="s">
        <v>48</v>
      </c>
    </row>
    <row r="20" spans="1:4" ht="20.100000000000001" customHeight="1" x14ac:dyDescent="0.3">
      <c r="B20" s="118" t="s">
        <v>177</v>
      </c>
      <c r="C20" s="122">
        <f>('Horas trabalhadas'!C26/'Horas trabalhadas'!C45)*100</f>
        <v>1.3807784915602954</v>
      </c>
      <c r="D20" s="117" t="s">
        <v>48</v>
      </c>
    </row>
    <row r="21" spans="1:4" ht="20.100000000000001" customHeight="1" x14ac:dyDescent="0.3">
      <c r="B21" s="118" t="s">
        <v>178</v>
      </c>
      <c r="C21" s="122">
        <f>('Horas trabalhadas'!C28/'Horas trabalhadas'!C45)*100</f>
        <v>0.49313517555724845</v>
      </c>
      <c r="D21" s="117" t="s">
        <v>48</v>
      </c>
    </row>
    <row r="22" spans="1:4" ht="20.100000000000001" customHeight="1" x14ac:dyDescent="0.3">
      <c r="B22" s="118" t="s">
        <v>179</v>
      </c>
      <c r="C22" s="122">
        <f>('Horas trabalhadas'!C32/'Horas trabalhadas'!C45)*100</f>
        <v>0.18410379887470607</v>
      </c>
      <c r="D22" s="117" t="s">
        <v>48</v>
      </c>
    </row>
    <row r="23" spans="1:4" ht="20.100000000000001" customHeight="1" x14ac:dyDescent="0.3">
      <c r="B23" s="118" t="s">
        <v>180</v>
      </c>
      <c r="C23" s="122">
        <f>('Horas trabalhadas'!C37/'Horas trabalhadas'!C45)*100</f>
        <v>0.18410379887470607</v>
      </c>
      <c r="D23" s="117" t="s">
        <v>48</v>
      </c>
    </row>
    <row r="24" spans="1:4" ht="20.100000000000001" customHeight="1" x14ac:dyDescent="0.3">
      <c r="B24" s="118" t="s">
        <v>181</v>
      </c>
      <c r="C24" s="122">
        <f>('Horas trabalhadas'!C42/'Horas trabalhadas'!C45)*100</f>
        <v>0.28766218574172819</v>
      </c>
      <c r="D24" s="117" t="s">
        <v>48</v>
      </c>
    </row>
    <row r="25" spans="1:4" ht="20.100000000000001" customHeight="1" x14ac:dyDescent="0.3">
      <c r="A25" s="124"/>
      <c r="B25" s="125" t="s">
        <v>1</v>
      </c>
      <c r="C25" s="120">
        <f>SUM(C19:C24)</f>
        <v>11.711555102902</v>
      </c>
      <c r="D25" s="126" t="s">
        <v>48</v>
      </c>
    </row>
    <row r="26" spans="1:4" ht="20.100000000000001" customHeight="1" x14ac:dyDescent="0.3"/>
    <row r="27" spans="1:4" ht="20.100000000000001" customHeight="1" x14ac:dyDescent="0.3">
      <c r="A27" s="119">
        <v>3</v>
      </c>
      <c r="B27" s="119" t="s">
        <v>182</v>
      </c>
      <c r="C27" s="120">
        <f>C39</f>
        <v>1.9586400447443773</v>
      </c>
      <c r="D27" s="126" t="s">
        <v>48</v>
      </c>
    </row>
    <row r="28" spans="1:4" ht="20.100000000000001" customHeight="1" x14ac:dyDescent="0.3">
      <c r="B28" s="127" t="s">
        <v>183</v>
      </c>
      <c r="C28" s="128">
        <f>(('Horas trabalhadas'!C20/C30)*(C29/100)*('Horas trabalhadas'!C24/'Horas trabalhadas'!C45))*100</f>
        <v>1.8363543304586629</v>
      </c>
      <c r="D28" s="129" t="s">
        <v>48</v>
      </c>
    </row>
    <row r="29" spans="1:4" ht="20.100000000000001" customHeight="1" x14ac:dyDescent="0.3">
      <c r="B29" s="118" t="s">
        <v>184</v>
      </c>
      <c r="C29" s="123">
        <v>100</v>
      </c>
      <c r="D29" s="117" t="s">
        <v>48</v>
      </c>
    </row>
    <row r="30" spans="1:4" ht="20.100000000000001" customHeight="1" x14ac:dyDescent="0.3">
      <c r="B30" s="118" t="s">
        <v>185</v>
      </c>
      <c r="C30" s="122">
        <v>60</v>
      </c>
      <c r="D30" s="117" t="s">
        <v>105</v>
      </c>
    </row>
    <row r="31" spans="1:4" ht="20.100000000000001" customHeight="1" x14ac:dyDescent="0.3">
      <c r="B31" s="118" t="s">
        <v>186</v>
      </c>
      <c r="C31" s="122">
        <v>50</v>
      </c>
      <c r="D31" s="117" t="s">
        <v>48</v>
      </c>
    </row>
    <row r="32" spans="1:4" ht="20.100000000000001" customHeight="1" x14ac:dyDescent="0.3">
      <c r="B32" s="118" t="s">
        <v>187</v>
      </c>
      <c r="C32" s="122">
        <v>3</v>
      </c>
      <c r="D32" s="117" t="s">
        <v>48</v>
      </c>
    </row>
    <row r="33" spans="1:4" ht="20.100000000000001" customHeight="1" x14ac:dyDescent="0.3">
      <c r="B33" s="118" t="s">
        <v>188</v>
      </c>
      <c r="C33" s="130">
        <v>0.247</v>
      </c>
      <c r="D33" s="117" t="s">
        <v>48</v>
      </c>
    </row>
    <row r="34" spans="1:4" ht="20.100000000000001" customHeight="1" x14ac:dyDescent="0.3">
      <c r="B34" s="127" t="s">
        <v>189</v>
      </c>
      <c r="C34" s="128">
        <f>('Horas trabalhadas'!C20/C30)*(C29/100)*(C31/100)*('Horas trabalhadas'!C7/100)</f>
        <v>0.12228571428571429</v>
      </c>
      <c r="D34" s="129"/>
    </row>
    <row r="35" spans="1:4" ht="20.100000000000001" customHeight="1" x14ac:dyDescent="0.3">
      <c r="B35" s="118" t="s">
        <v>190</v>
      </c>
      <c r="C35" s="122">
        <v>8</v>
      </c>
      <c r="D35" s="117" t="s">
        <v>48</v>
      </c>
    </row>
    <row r="36" spans="1:4" ht="20.100000000000001" customHeight="1" x14ac:dyDescent="0.3">
      <c r="B36" s="118" t="s">
        <v>191</v>
      </c>
      <c r="C36" s="122">
        <f>(C35/100)*('Horas trabalhadas'!C24/'Horas trabalhadas'!C45)*100</f>
        <v>0.73454173218346519</v>
      </c>
      <c r="D36" s="117" t="s">
        <v>48</v>
      </c>
    </row>
    <row r="37" spans="1:4" ht="20.100000000000001" customHeight="1" x14ac:dyDescent="0.3">
      <c r="B37" s="118" t="s">
        <v>192</v>
      </c>
      <c r="C37" s="122">
        <f>C36+(C36*(1+(C32/100)))</f>
        <v>1.4911197163324343</v>
      </c>
      <c r="D37" s="117" t="s">
        <v>48</v>
      </c>
    </row>
    <row r="38" spans="1:4" ht="20.100000000000001" customHeight="1" x14ac:dyDescent="0.3">
      <c r="B38" s="118" t="s">
        <v>193</v>
      </c>
      <c r="C38" s="122">
        <v>19.62</v>
      </c>
      <c r="D38" s="117" t="s">
        <v>48</v>
      </c>
    </row>
    <row r="39" spans="1:4" ht="20.100000000000001" customHeight="1" x14ac:dyDescent="0.3">
      <c r="A39" s="124"/>
      <c r="B39" s="125" t="s">
        <v>1</v>
      </c>
      <c r="C39" s="120">
        <f>C28+C34</f>
        <v>1.9586400447443773</v>
      </c>
      <c r="D39" s="126" t="s">
        <v>48</v>
      </c>
    </row>
    <row r="40" spans="1:4" ht="20.100000000000001" customHeight="1" x14ac:dyDescent="0.3"/>
    <row r="41" spans="1:4" ht="20.100000000000001" customHeight="1" x14ac:dyDescent="0.3">
      <c r="A41" s="119">
        <v>4</v>
      </c>
      <c r="B41" s="119" t="s">
        <v>194</v>
      </c>
      <c r="C41" s="120">
        <f>C44</f>
        <v>12.369886809339604</v>
      </c>
      <c r="D41" s="121" t="s">
        <v>48</v>
      </c>
    </row>
    <row r="42" spans="1:4" ht="20.100000000000001" customHeight="1" x14ac:dyDescent="0.3">
      <c r="B42" s="118" t="s">
        <v>195</v>
      </c>
      <c r="C42" s="122">
        <f>('Horas trabalhadas'!C16/'Horas trabalhadas'!C45)*100</f>
        <v>9.3092962585751664</v>
      </c>
      <c r="D42" s="117" t="s">
        <v>48</v>
      </c>
    </row>
    <row r="43" spans="1:4" ht="20.100000000000001" customHeight="1" x14ac:dyDescent="0.3">
      <c r="B43" s="118" t="s">
        <v>196</v>
      </c>
      <c r="C43" s="122">
        <f>(1/3)*('Horas trabalhadas'!C24/'Horas trabalhadas'!C45)*100</f>
        <v>3.060590550764438</v>
      </c>
      <c r="D43" s="117" t="s">
        <v>48</v>
      </c>
    </row>
    <row r="44" spans="1:4" ht="20.100000000000001" customHeight="1" x14ac:dyDescent="0.3">
      <c r="A44" s="124"/>
      <c r="B44" s="125" t="s">
        <v>1</v>
      </c>
      <c r="C44" s="120">
        <f>C42+C43</f>
        <v>12.369886809339604</v>
      </c>
      <c r="D44" s="126" t="s">
        <v>48</v>
      </c>
    </row>
    <row r="45" spans="1:4" ht="20.100000000000001" customHeight="1" x14ac:dyDescent="0.3"/>
    <row r="46" spans="1:4" ht="20.100000000000001" customHeight="1" x14ac:dyDescent="0.3">
      <c r="A46" s="119">
        <v>5</v>
      </c>
      <c r="B46" s="119" t="s">
        <v>197</v>
      </c>
      <c r="C46" s="120">
        <f>C49</f>
        <v>8.861970623704913</v>
      </c>
      <c r="D46" s="121" t="s">
        <v>48</v>
      </c>
    </row>
    <row r="47" spans="1:4" ht="20.100000000000001" customHeight="1" x14ac:dyDescent="0.3">
      <c r="B47" s="118" t="s">
        <v>198</v>
      </c>
      <c r="C47" s="123">
        <f>((C7/100)*(C18/100))*100</f>
        <v>4.3098522778679369</v>
      </c>
      <c r="D47" s="117" t="s">
        <v>48</v>
      </c>
    </row>
    <row r="48" spans="1:4" ht="20.100000000000001" customHeight="1" x14ac:dyDescent="0.3">
      <c r="B48" s="118" t="s">
        <v>199</v>
      </c>
      <c r="C48" s="122">
        <f>((C16/100)*(C41/100))*100</f>
        <v>4.5521183458369752</v>
      </c>
      <c r="D48" s="117" t="s">
        <v>48</v>
      </c>
    </row>
    <row r="49" spans="1:4" ht="20.100000000000001" customHeight="1" x14ac:dyDescent="0.3">
      <c r="A49" s="124"/>
      <c r="B49" s="125" t="s">
        <v>1</v>
      </c>
      <c r="C49" s="120">
        <f>C47+C48</f>
        <v>8.861970623704913</v>
      </c>
      <c r="D49" s="126" t="s">
        <v>48</v>
      </c>
    </row>
    <row r="50" spans="1:4" ht="20.100000000000001" customHeight="1" x14ac:dyDescent="0.3"/>
    <row r="51" spans="1:4" ht="20.100000000000001" customHeight="1" x14ac:dyDescent="0.3">
      <c r="A51" s="316" t="s">
        <v>200</v>
      </c>
      <c r="B51" s="316"/>
      <c r="C51" s="120">
        <f>C7+C18+C27+C41+C46</f>
        <v>71.702052580690903</v>
      </c>
      <c r="D51" s="121" t="s">
        <v>48</v>
      </c>
    </row>
    <row r="52" spans="1:4" ht="20.100000000000001" customHeight="1" x14ac:dyDescent="0.3"/>
    <row r="53" spans="1:4" ht="20.100000000000001" customHeight="1" x14ac:dyDescent="0.3">
      <c r="A53" s="119">
        <v>9</v>
      </c>
      <c r="B53" s="119" t="s">
        <v>201</v>
      </c>
      <c r="C53" s="120">
        <f>C54+C61+C70+C71</f>
        <v>25.736842105263158</v>
      </c>
      <c r="D53" s="126" t="s">
        <v>48</v>
      </c>
    </row>
    <row r="54" spans="1:4" ht="20.100000000000001" customHeight="1" x14ac:dyDescent="0.3">
      <c r="B54" s="127" t="s">
        <v>202</v>
      </c>
      <c r="C54" s="128">
        <f>(((C56*C58)*(C57/100)*(C55/100))/C59)*100</f>
        <v>19.894736842105264</v>
      </c>
      <c r="D54" s="129" t="s">
        <v>48</v>
      </c>
    </row>
    <row r="55" spans="1:4" ht="20.100000000000001" customHeight="1" x14ac:dyDescent="0.3">
      <c r="B55" s="118" t="s">
        <v>203</v>
      </c>
      <c r="C55" s="123">
        <v>100</v>
      </c>
      <c r="D55" s="117" t="s">
        <v>48</v>
      </c>
    </row>
    <row r="56" spans="1:4" ht="20.100000000000001" customHeight="1" x14ac:dyDescent="0.3">
      <c r="B56" s="118" t="s">
        <v>204</v>
      </c>
      <c r="C56" s="122">
        <v>18</v>
      </c>
      <c r="D56" s="117" t="s">
        <v>205</v>
      </c>
    </row>
    <row r="57" spans="1:4" ht="20.100000000000001" customHeight="1" x14ac:dyDescent="0.3">
      <c r="B57" s="118" t="s">
        <v>206</v>
      </c>
      <c r="C57" s="122">
        <v>100</v>
      </c>
      <c r="D57" s="117" t="s">
        <v>48</v>
      </c>
    </row>
    <row r="58" spans="1:4" ht="20.100000000000001" customHeight="1" x14ac:dyDescent="0.3">
      <c r="B58" s="118" t="s">
        <v>207</v>
      </c>
      <c r="C58" s="122">
        <v>21</v>
      </c>
      <c r="D58" s="117" t="s">
        <v>73</v>
      </c>
    </row>
    <row r="59" spans="1:4" ht="20.100000000000001" customHeight="1" x14ac:dyDescent="0.3">
      <c r="B59" s="118" t="s">
        <v>218</v>
      </c>
      <c r="C59" s="122">
        <f>'Custos de operação'!D18</f>
        <v>1900</v>
      </c>
      <c r="D59" s="117" t="s">
        <v>205</v>
      </c>
    </row>
    <row r="60" spans="1:4" ht="20.100000000000001" customHeight="1" x14ac:dyDescent="0.3">
      <c r="B60" s="118" t="s">
        <v>208</v>
      </c>
      <c r="C60" s="131">
        <f>((C55/100)*(C56)*(C57/100)*(C58))/C59</f>
        <v>0.19894736842105262</v>
      </c>
    </row>
    <row r="61" spans="1:4" ht="20.100000000000001" customHeight="1" x14ac:dyDescent="0.3">
      <c r="B61" s="127" t="s">
        <v>209</v>
      </c>
      <c r="C61" s="171">
        <f>C69</f>
        <v>2.8421052631578947</v>
      </c>
      <c r="D61" s="129" t="s">
        <v>48</v>
      </c>
    </row>
    <row r="62" spans="1:4" ht="20.100000000000001" customHeight="1" x14ac:dyDescent="0.3">
      <c r="B62" s="118" t="s">
        <v>210</v>
      </c>
      <c r="C62" s="122">
        <v>100</v>
      </c>
      <c r="D62" s="117" t="s">
        <v>48</v>
      </c>
    </row>
    <row r="63" spans="1:4" ht="20.100000000000001" customHeight="1" x14ac:dyDescent="0.3">
      <c r="B63" s="118" t="s">
        <v>211</v>
      </c>
      <c r="C63" s="122">
        <f>C59</f>
        <v>1900</v>
      </c>
      <c r="D63" s="117" t="s">
        <v>205</v>
      </c>
    </row>
    <row r="64" spans="1:4" ht="20.100000000000001" customHeight="1" x14ac:dyDescent="0.3">
      <c r="B64" s="118" t="s">
        <v>212</v>
      </c>
      <c r="C64" s="122">
        <v>8</v>
      </c>
      <c r="D64" s="117" t="s">
        <v>205</v>
      </c>
    </row>
    <row r="65" spans="1:4" ht="20.100000000000001" customHeight="1" x14ac:dyDescent="0.3">
      <c r="B65" s="118" t="s">
        <v>207</v>
      </c>
      <c r="C65" s="122">
        <v>21</v>
      </c>
      <c r="D65" s="117" t="s">
        <v>73</v>
      </c>
    </row>
    <row r="66" spans="1:4" ht="20.100000000000001" customHeight="1" x14ac:dyDescent="0.3">
      <c r="B66" s="118" t="s">
        <v>213</v>
      </c>
      <c r="C66" s="122">
        <v>6</v>
      </c>
      <c r="D66" s="117" t="s">
        <v>48</v>
      </c>
    </row>
    <row r="67" spans="1:4" ht="20.100000000000001" customHeight="1" x14ac:dyDescent="0.3">
      <c r="B67" s="118" t="s">
        <v>238</v>
      </c>
      <c r="C67" s="122">
        <f>C63*(C66/100)</f>
        <v>114</v>
      </c>
      <c r="D67" s="117" t="s">
        <v>205</v>
      </c>
    </row>
    <row r="68" spans="1:4" ht="20.100000000000001" customHeight="1" x14ac:dyDescent="0.3">
      <c r="B68" s="118" t="s">
        <v>214</v>
      </c>
      <c r="C68" s="122">
        <f>(C65*C64)-C67</f>
        <v>54</v>
      </c>
      <c r="D68" s="117" t="s">
        <v>205</v>
      </c>
    </row>
    <row r="69" spans="1:4" ht="20.100000000000001" customHeight="1" x14ac:dyDescent="0.3">
      <c r="B69" s="118" t="s">
        <v>208</v>
      </c>
      <c r="C69" s="122">
        <f>((C68/C59)*(C62/100))*100</f>
        <v>2.8421052631578947</v>
      </c>
      <c r="D69" s="117" t="s">
        <v>48</v>
      </c>
    </row>
    <row r="70" spans="1:4" ht="20.100000000000001" customHeight="1" x14ac:dyDescent="0.3">
      <c r="B70" s="127" t="s">
        <v>215</v>
      </c>
      <c r="C70" s="128">
        <v>1</v>
      </c>
      <c r="D70" s="129" t="s">
        <v>48</v>
      </c>
    </row>
    <row r="71" spans="1:4" ht="20.100000000000001" customHeight="1" x14ac:dyDescent="0.3">
      <c r="B71" s="127" t="s">
        <v>216</v>
      </c>
      <c r="C71" s="128">
        <v>2</v>
      </c>
      <c r="D71" s="129" t="s">
        <v>48</v>
      </c>
    </row>
    <row r="72" spans="1:4" ht="20.100000000000001" customHeight="1" x14ac:dyDescent="0.3">
      <c r="A72" s="132"/>
      <c r="B72" s="132" t="s">
        <v>1</v>
      </c>
      <c r="C72" s="133">
        <f>C51+C53</f>
        <v>97.438894685954068</v>
      </c>
      <c r="D72" s="134" t="s">
        <v>48</v>
      </c>
    </row>
    <row r="73" spans="1:4" ht="20.100000000000001" customHeight="1" x14ac:dyDescent="0.3">
      <c r="C73" s="131"/>
    </row>
    <row r="74" spans="1:4" ht="20.100000000000001" customHeight="1" x14ac:dyDescent="0.3">
      <c r="C74" s="131"/>
    </row>
    <row r="75" spans="1:4" ht="20.100000000000001" customHeight="1" x14ac:dyDescent="0.3"/>
    <row r="76" spans="1:4" ht="20.100000000000001" customHeight="1" x14ac:dyDescent="0.3"/>
    <row r="77" spans="1:4" ht="20.100000000000001" customHeight="1" x14ac:dyDescent="0.3"/>
    <row r="78" spans="1:4" ht="20.100000000000001" customHeight="1" x14ac:dyDescent="0.3"/>
    <row r="79" spans="1:4" ht="20.100000000000001" customHeight="1" x14ac:dyDescent="0.3"/>
    <row r="80" spans="1:4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</sheetData>
  <sheetProtection algorithmName="SHA-512" hashValue="ph7887H+1FsUx1qUeMMSTK0oRH3aftTsKeM/d0MDsHF1Er6KpDGeOWvsktZy4WSHnql4zCPWXMVSnLeOIINvUQ==" saltValue="2qIUuqOaW6LOzPBHMw11YA==" spinCount="100000" sheet="1" objects="1" scenarios="1"/>
  <mergeCells count="3">
    <mergeCell ref="A1:D2"/>
    <mergeCell ref="A4:D4"/>
    <mergeCell ref="A51:B5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orientation="portrait" r:id="rId1"/>
  <headerFooter>
    <oddFooter>&amp;L&amp;F&amp;C&amp;A&amp;R&amp;P/&amp;N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9"/>
  <sheetViews>
    <sheetView workbookViewId="0">
      <selection sqref="A1:H2"/>
    </sheetView>
  </sheetViews>
  <sheetFormatPr defaultColWidth="9.109375" defaultRowHeight="12" x14ac:dyDescent="0.3"/>
  <cols>
    <col min="1" max="1" width="11.44140625" style="59" customWidth="1"/>
    <col min="2" max="2" width="47" style="59" customWidth="1"/>
    <col min="3" max="3" width="7" style="60" bestFit="1" customWidth="1"/>
    <col min="4" max="4" width="10.5546875" style="61" customWidth="1"/>
    <col min="5" max="5" width="15.6640625" style="62" customWidth="1"/>
    <col min="6" max="6" width="12.33203125" style="59" customWidth="1"/>
    <col min="7" max="7" width="9.109375" style="59"/>
    <col min="8" max="8" width="22.33203125" style="59" customWidth="1"/>
    <col min="9" max="9" width="23.44140625" style="59" customWidth="1"/>
    <col min="10" max="16384" width="9.109375" style="59"/>
  </cols>
  <sheetData>
    <row r="1" spans="1:9" ht="20.100000000000001" customHeight="1" x14ac:dyDescent="0.3">
      <c r="A1" s="318" t="str">
        <f>Capa!B5</f>
        <v>Nome do município</v>
      </c>
      <c r="B1" s="319"/>
      <c r="C1" s="319"/>
      <c r="D1" s="319"/>
      <c r="E1" s="319"/>
      <c r="F1" s="319"/>
      <c r="G1" s="319"/>
      <c r="H1" s="320"/>
      <c r="I1" s="57"/>
    </row>
    <row r="2" spans="1:9" ht="29.25" customHeight="1" thickBot="1" x14ac:dyDescent="0.35">
      <c r="A2" s="321"/>
      <c r="B2" s="322"/>
      <c r="C2" s="322"/>
      <c r="D2" s="322"/>
      <c r="E2" s="322"/>
      <c r="F2" s="322"/>
      <c r="G2" s="322"/>
      <c r="H2" s="323"/>
      <c r="I2" s="57"/>
    </row>
    <row r="3" spans="1:9" ht="20.100000000000001" customHeight="1" x14ac:dyDescent="0.3">
      <c r="A3" s="83"/>
      <c r="B3" s="83"/>
      <c r="C3" s="84"/>
      <c r="D3" s="84"/>
      <c r="E3" s="84"/>
      <c r="F3" s="84"/>
      <c r="G3" s="84"/>
      <c r="H3" s="84"/>
      <c r="I3" s="57"/>
    </row>
    <row r="4" spans="1:9" ht="20.25" customHeight="1" x14ac:dyDescent="0.3">
      <c r="A4" s="327" t="s">
        <v>229</v>
      </c>
      <c r="B4" s="328"/>
      <c r="C4" s="328"/>
      <c r="D4" s="328"/>
      <c r="E4" s="328"/>
      <c r="F4" s="328"/>
      <c r="G4" s="328"/>
      <c r="H4" s="329"/>
      <c r="I4" s="57"/>
    </row>
    <row r="5" spans="1:9" ht="20.100000000000001" customHeight="1" x14ac:dyDescent="0.3">
      <c r="A5" s="107" t="s">
        <v>66</v>
      </c>
      <c r="B5" s="135"/>
      <c r="C5" s="136" t="s">
        <v>67</v>
      </c>
      <c r="D5" s="136" t="s">
        <v>68</v>
      </c>
      <c r="E5" s="135" t="s">
        <v>69</v>
      </c>
      <c r="F5" s="135"/>
      <c r="G5" s="135"/>
      <c r="H5" s="135"/>
      <c r="I5" s="137"/>
    </row>
    <row r="6" spans="1:9" ht="5.0999999999999996" customHeight="1" x14ac:dyDescent="0.3"/>
    <row r="7" spans="1:9" ht="20.100000000000001" customHeight="1" x14ac:dyDescent="0.3">
      <c r="A7" s="63">
        <v>1</v>
      </c>
      <c r="B7" s="63" t="s">
        <v>70</v>
      </c>
      <c r="C7" s="64">
        <f>C14</f>
        <v>122.28571428571429</v>
      </c>
      <c r="D7" s="324"/>
      <c r="E7" s="325"/>
      <c r="F7" s="325"/>
      <c r="G7" s="325"/>
      <c r="H7" s="326"/>
    </row>
    <row r="8" spans="1:9" ht="20.100000000000001" customHeight="1" x14ac:dyDescent="0.3">
      <c r="A8" s="65" t="s">
        <v>71</v>
      </c>
      <c r="B8" s="66" t="s">
        <v>72</v>
      </c>
      <c r="C8" s="67">
        <v>365</v>
      </c>
      <c r="D8" s="68" t="s">
        <v>73</v>
      </c>
      <c r="E8" s="66" t="s">
        <v>74</v>
      </c>
      <c r="F8" s="66"/>
      <c r="G8" s="66"/>
      <c r="H8" s="66"/>
      <c r="I8" s="58"/>
    </row>
    <row r="9" spans="1:9" ht="20.100000000000001" customHeight="1" x14ac:dyDescent="0.3">
      <c r="A9" s="65" t="s">
        <v>75</v>
      </c>
      <c r="B9" s="66" t="s">
        <v>76</v>
      </c>
      <c r="C9" s="67">
        <v>7</v>
      </c>
      <c r="D9" s="68" t="s">
        <v>73</v>
      </c>
      <c r="E9" s="66" t="s">
        <v>74</v>
      </c>
      <c r="F9" s="66"/>
      <c r="G9" s="66"/>
      <c r="H9" s="66"/>
    </row>
    <row r="10" spans="1:9" ht="20.100000000000001" customHeight="1" x14ac:dyDescent="0.3">
      <c r="A10" s="65" t="s">
        <v>77</v>
      </c>
      <c r="B10" s="66" t="s">
        <v>78</v>
      </c>
      <c r="C10" s="67">
        <v>2</v>
      </c>
      <c r="D10" s="68" t="s">
        <v>73</v>
      </c>
      <c r="E10" s="66" t="s">
        <v>74</v>
      </c>
      <c r="F10" s="66"/>
      <c r="G10" s="66"/>
      <c r="H10" s="66"/>
    </row>
    <row r="11" spans="1:9" ht="20.100000000000001" customHeight="1" x14ac:dyDescent="0.3">
      <c r="A11" s="65" t="s">
        <v>79</v>
      </c>
      <c r="B11" s="66" t="s">
        <v>80</v>
      </c>
      <c r="C11" s="69">
        <f>C8/C9</f>
        <v>52.142857142857146</v>
      </c>
      <c r="D11" s="68" t="s">
        <v>81</v>
      </c>
      <c r="E11" s="66" t="s">
        <v>82</v>
      </c>
      <c r="F11" s="65" t="s">
        <v>83</v>
      </c>
      <c r="G11" s="66"/>
      <c r="H11" s="66"/>
    </row>
    <row r="12" spans="1:9" ht="20.100000000000001" customHeight="1" x14ac:dyDescent="0.3">
      <c r="A12" s="65" t="s">
        <v>84</v>
      </c>
      <c r="B12" s="66" t="s">
        <v>85</v>
      </c>
      <c r="C12" s="69">
        <f>C11*2</f>
        <v>104.28571428571429</v>
      </c>
      <c r="D12" s="68" t="s">
        <v>73</v>
      </c>
      <c r="E12" s="66" t="s">
        <v>82</v>
      </c>
      <c r="F12" s="65" t="s">
        <v>86</v>
      </c>
      <c r="G12" s="66"/>
      <c r="H12" s="66"/>
      <c r="I12" s="58"/>
    </row>
    <row r="13" spans="1:9" ht="20.100000000000001" customHeight="1" x14ac:dyDescent="0.3">
      <c r="A13" s="65" t="s">
        <v>87</v>
      </c>
      <c r="B13" s="66" t="s">
        <v>88</v>
      </c>
      <c r="C13" s="70">
        <v>18</v>
      </c>
      <c r="D13" s="68" t="s">
        <v>73</v>
      </c>
      <c r="E13" s="66"/>
      <c r="F13" s="66"/>
      <c r="G13" s="66"/>
      <c r="H13" s="66"/>
    </row>
    <row r="14" spans="1:9" ht="20.100000000000001" customHeight="1" x14ac:dyDescent="0.3">
      <c r="A14" s="65" t="s">
        <v>89</v>
      </c>
      <c r="B14" s="66" t="s">
        <v>90</v>
      </c>
      <c r="C14" s="69">
        <f>C12+C13</f>
        <v>122.28571428571429</v>
      </c>
      <c r="D14" s="68" t="s">
        <v>73</v>
      </c>
      <c r="E14" s="66" t="s">
        <v>82</v>
      </c>
      <c r="F14" s="65" t="s">
        <v>91</v>
      </c>
      <c r="G14" s="66"/>
      <c r="H14" s="66"/>
    </row>
    <row r="15" spans="1:9" ht="5.0999999999999996" customHeight="1" x14ac:dyDescent="0.3">
      <c r="A15" s="71"/>
      <c r="B15" s="71"/>
      <c r="D15" s="72"/>
      <c r="E15" s="73"/>
      <c r="F15" s="71"/>
      <c r="G15" s="71"/>
      <c r="H15" s="71"/>
    </row>
    <row r="16" spans="1:9" ht="20.100000000000001" customHeight="1" x14ac:dyDescent="0.3">
      <c r="A16" s="63">
        <v>2</v>
      </c>
      <c r="B16" s="63" t="s">
        <v>92</v>
      </c>
      <c r="C16" s="64">
        <f>C21</f>
        <v>161.80952380952382</v>
      </c>
      <c r="D16" s="324"/>
      <c r="E16" s="325"/>
      <c r="F16" s="325"/>
      <c r="G16" s="325"/>
      <c r="H16" s="326"/>
    </row>
    <row r="17" spans="1:9" ht="20.100000000000001" customHeight="1" x14ac:dyDescent="0.3">
      <c r="A17" s="65" t="s">
        <v>93</v>
      </c>
      <c r="B17" s="66" t="s">
        <v>94</v>
      </c>
      <c r="C17" s="69">
        <f>C8-C14</f>
        <v>242.71428571428572</v>
      </c>
      <c r="D17" s="68" t="s">
        <v>73</v>
      </c>
      <c r="E17" s="66" t="s">
        <v>82</v>
      </c>
      <c r="F17" s="65" t="s">
        <v>95</v>
      </c>
      <c r="G17" s="66"/>
      <c r="H17" s="66"/>
    </row>
    <row r="18" spans="1:9" ht="20.100000000000001" customHeight="1" x14ac:dyDescent="0.3">
      <c r="A18" s="65" t="s">
        <v>96</v>
      </c>
      <c r="B18" s="66" t="s">
        <v>97</v>
      </c>
      <c r="C18" s="67">
        <v>8</v>
      </c>
      <c r="D18" s="68" t="s">
        <v>98</v>
      </c>
      <c r="E18" s="66" t="s">
        <v>74</v>
      </c>
      <c r="F18" s="317" t="s">
        <v>99</v>
      </c>
      <c r="G18" s="317"/>
      <c r="H18" s="74"/>
    </row>
    <row r="19" spans="1:9" ht="20.100000000000001" customHeight="1" x14ac:dyDescent="0.3">
      <c r="A19" s="65" t="s">
        <v>100</v>
      </c>
      <c r="B19" s="66" t="s">
        <v>101</v>
      </c>
      <c r="C19" s="69">
        <f>C17*C18</f>
        <v>1941.7142857142858</v>
      </c>
      <c r="D19" s="68" t="s">
        <v>98</v>
      </c>
      <c r="E19" s="66" t="s">
        <v>82</v>
      </c>
      <c r="F19" s="65" t="s">
        <v>102</v>
      </c>
      <c r="G19" s="66"/>
      <c r="H19" s="66"/>
    </row>
    <row r="20" spans="1:9" ht="20.100000000000001" customHeight="1" x14ac:dyDescent="0.3">
      <c r="A20" s="65" t="s">
        <v>103</v>
      </c>
      <c r="B20" s="66" t="s">
        <v>104</v>
      </c>
      <c r="C20" s="67">
        <v>12</v>
      </c>
      <c r="D20" s="68" t="s">
        <v>105</v>
      </c>
      <c r="E20" s="66" t="s">
        <v>74</v>
      </c>
      <c r="F20" s="65"/>
      <c r="G20" s="66"/>
      <c r="H20" s="66"/>
    </row>
    <row r="21" spans="1:9" ht="20.100000000000001" customHeight="1" x14ac:dyDescent="0.3">
      <c r="A21" s="65" t="s">
        <v>106</v>
      </c>
      <c r="B21" s="66" t="s">
        <v>107</v>
      </c>
      <c r="C21" s="69">
        <f>C19/C20</f>
        <v>161.80952380952382</v>
      </c>
      <c r="D21" s="68" t="s">
        <v>98</v>
      </c>
      <c r="E21" s="66" t="s">
        <v>82</v>
      </c>
      <c r="F21" s="65" t="s">
        <v>108</v>
      </c>
      <c r="G21" s="74"/>
      <c r="H21" s="74"/>
    </row>
    <row r="22" spans="1:9" ht="5.0999999999999996" customHeight="1" x14ac:dyDescent="0.3">
      <c r="A22" s="71"/>
      <c r="B22" s="73"/>
      <c r="C22" s="75"/>
      <c r="D22" s="68"/>
      <c r="E22" s="66"/>
      <c r="F22" s="65"/>
      <c r="G22" s="66"/>
      <c r="H22" s="66"/>
    </row>
    <row r="23" spans="1:9" ht="20.100000000000001" customHeight="1" x14ac:dyDescent="0.3">
      <c r="A23" s="63">
        <v>3</v>
      </c>
      <c r="B23" s="63" t="s">
        <v>109</v>
      </c>
      <c r="C23" s="64">
        <f>C24+C26+C28+C32+C37</f>
        <v>198.56438356164384</v>
      </c>
      <c r="D23" s="330" t="s">
        <v>110</v>
      </c>
      <c r="E23" s="331"/>
      <c r="F23" s="317" t="s">
        <v>111</v>
      </c>
      <c r="G23" s="317"/>
      <c r="H23" s="317"/>
    </row>
    <row r="24" spans="1:9" ht="20.100000000000001" customHeight="1" x14ac:dyDescent="0.3">
      <c r="A24" s="76" t="s">
        <v>112</v>
      </c>
      <c r="B24" s="63" t="s">
        <v>113</v>
      </c>
      <c r="C24" s="77">
        <f>C18*(C25-((C25/C9)+(C25/C9)+(C25*(C13/C8))))</f>
        <v>159.59295499021528</v>
      </c>
      <c r="D24" s="68" t="s">
        <v>98</v>
      </c>
      <c r="E24" s="66" t="s">
        <v>82</v>
      </c>
      <c r="F24" s="65"/>
      <c r="G24" s="65"/>
      <c r="H24" s="65"/>
    </row>
    <row r="25" spans="1:9" ht="20.100000000000001" customHeight="1" x14ac:dyDescent="0.3">
      <c r="A25" s="78" t="s">
        <v>114</v>
      </c>
      <c r="B25" s="66" t="s">
        <v>115</v>
      </c>
      <c r="C25" s="67">
        <v>30</v>
      </c>
      <c r="D25" s="68" t="s">
        <v>116</v>
      </c>
      <c r="E25" s="66" t="s">
        <v>74</v>
      </c>
      <c r="F25" s="65"/>
      <c r="G25" s="65"/>
      <c r="H25" s="65"/>
    </row>
    <row r="26" spans="1:9" ht="20.100000000000001" customHeight="1" x14ac:dyDescent="0.3">
      <c r="A26" s="76" t="s">
        <v>117</v>
      </c>
      <c r="B26" s="63" t="s">
        <v>118</v>
      </c>
      <c r="C26" s="79">
        <f>C27*C18</f>
        <v>24</v>
      </c>
      <c r="D26" s="68" t="s">
        <v>98</v>
      </c>
      <c r="E26" s="66" t="s">
        <v>82</v>
      </c>
      <c r="F26" s="65" t="s">
        <v>119</v>
      </c>
      <c r="G26" s="65"/>
      <c r="H26" s="65"/>
    </row>
    <row r="27" spans="1:9" ht="20.100000000000001" customHeight="1" x14ac:dyDescent="0.3">
      <c r="A27" s="78" t="s">
        <v>120</v>
      </c>
      <c r="B27" s="66" t="s">
        <v>121</v>
      </c>
      <c r="C27" s="67">
        <v>3</v>
      </c>
      <c r="D27" s="68" t="s">
        <v>116</v>
      </c>
      <c r="E27" s="68" t="s">
        <v>74</v>
      </c>
      <c r="F27" s="65"/>
      <c r="G27" s="65"/>
      <c r="H27" s="65"/>
    </row>
    <row r="28" spans="1:9" ht="20.100000000000001" customHeight="1" x14ac:dyDescent="0.3">
      <c r="A28" s="76" t="s">
        <v>122</v>
      </c>
      <c r="B28" s="63" t="s">
        <v>123</v>
      </c>
      <c r="C28" s="77">
        <f>C18*(C30-C31)*(C29/100)</f>
        <v>8.571428571428573</v>
      </c>
      <c r="D28" s="68" t="s">
        <v>98</v>
      </c>
      <c r="E28" s="66" t="s">
        <v>82</v>
      </c>
      <c r="F28" s="317" t="s">
        <v>124</v>
      </c>
      <c r="G28" s="317"/>
      <c r="H28" s="317"/>
      <c r="I28" s="58"/>
    </row>
    <row r="29" spans="1:9" ht="20.100000000000001" customHeight="1" x14ac:dyDescent="0.3">
      <c r="A29" s="78" t="s">
        <v>125</v>
      </c>
      <c r="B29" s="66" t="s">
        <v>126</v>
      </c>
      <c r="C29" s="67">
        <v>10</v>
      </c>
      <c r="D29" s="68" t="s">
        <v>48</v>
      </c>
      <c r="E29" s="66" t="s">
        <v>74</v>
      </c>
      <c r="F29" s="65"/>
      <c r="G29" s="65"/>
      <c r="H29" s="65"/>
      <c r="I29" s="58"/>
    </row>
    <row r="30" spans="1:9" ht="20.100000000000001" customHeight="1" x14ac:dyDescent="0.3">
      <c r="A30" s="78" t="s">
        <v>127</v>
      </c>
      <c r="B30" s="66" t="s">
        <v>128</v>
      </c>
      <c r="C30" s="67">
        <v>15</v>
      </c>
      <c r="D30" s="68" t="s">
        <v>116</v>
      </c>
      <c r="E30" s="66" t="s">
        <v>74</v>
      </c>
      <c r="F30" s="332" t="s">
        <v>129</v>
      </c>
      <c r="G30" s="332"/>
      <c r="H30" s="332"/>
    </row>
    <row r="31" spans="1:9" ht="20.100000000000001" customHeight="1" x14ac:dyDescent="0.3">
      <c r="A31" s="78" t="s">
        <v>130</v>
      </c>
      <c r="B31" s="66" t="s">
        <v>131</v>
      </c>
      <c r="C31" s="69">
        <f>(C30/C9)*C10</f>
        <v>4.2857142857142856</v>
      </c>
      <c r="D31" s="68" t="s">
        <v>116</v>
      </c>
      <c r="E31" s="66" t="s">
        <v>82</v>
      </c>
      <c r="F31" s="317" t="s">
        <v>132</v>
      </c>
      <c r="G31" s="317"/>
      <c r="H31" s="65"/>
    </row>
    <row r="32" spans="1:9" ht="20.100000000000001" customHeight="1" x14ac:dyDescent="0.3">
      <c r="A32" s="76" t="s">
        <v>133</v>
      </c>
      <c r="B32" s="63" t="s">
        <v>134</v>
      </c>
      <c r="C32" s="77">
        <f>C33*C18*(C35/100)*(C36/100)*(C20/C34)</f>
        <v>3.2</v>
      </c>
      <c r="D32" s="68" t="s">
        <v>98</v>
      </c>
      <c r="E32" s="66" t="s">
        <v>82</v>
      </c>
      <c r="F32" s="317" t="s">
        <v>135</v>
      </c>
      <c r="G32" s="317"/>
      <c r="H32" s="317"/>
    </row>
    <row r="33" spans="1:9" ht="20.100000000000001" customHeight="1" x14ac:dyDescent="0.3">
      <c r="A33" s="78" t="s">
        <v>136</v>
      </c>
      <c r="B33" s="66" t="s">
        <v>137</v>
      </c>
      <c r="C33" s="70">
        <f>C9-C10</f>
        <v>5</v>
      </c>
      <c r="D33" s="68" t="s">
        <v>116</v>
      </c>
      <c r="E33" s="66" t="s">
        <v>82</v>
      </c>
      <c r="F33" s="65" t="s">
        <v>138</v>
      </c>
      <c r="G33" s="317" t="s">
        <v>139</v>
      </c>
      <c r="H33" s="317"/>
    </row>
    <row r="34" spans="1:9" ht="20.100000000000001" customHeight="1" x14ac:dyDescent="0.3">
      <c r="A34" s="78" t="s">
        <v>140</v>
      </c>
      <c r="B34" s="66" t="s">
        <v>141</v>
      </c>
      <c r="C34" s="67">
        <v>24</v>
      </c>
      <c r="D34" s="68" t="s">
        <v>105</v>
      </c>
      <c r="E34" s="66" t="s">
        <v>74</v>
      </c>
      <c r="F34" s="65"/>
      <c r="G34" s="65"/>
      <c r="H34" s="65"/>
    </row>
    <row r="35" spans="1:9" ht="20.100000000000001" customHeight="1" x14ac:dyDescent="0.3">
      <c r="A35" s="78" t="s">
        <v>142</v>
      </c>
      <c r="B35" s="66" t="s">
        <v>143</v>
      </c>
      <c r="C35" s="67">
        <v>80</v>
      </c>
      <c r="D35" s="68" t="s">
        <v>48</v>
      </c>
      <c r="E35" s="66" t="s">
        <v>74</v>
      </c>
      <c r="F35" s="65"/>
      <c r="G35" s="65"/>
      <c r="H35" s="65"/>
      <c r="I35" s="58"/>
    </row>
    <row r="36" spans="1:9" ht="20.100000000000001" customHeight="1" x14ac:dyDescent="0.3">
      <c r="A36" s="78" t="s">
        <v>144</v>
      </c>
      <c r="B36" s="66" t="s">
        <v>145</v>
      </c>
      <c r="C36" s="67">
        <v>20</v>
      </c>
      <c r="D36" s="68" t="s">
        <v>48</v>
      </c>
      <c r="E36" s="66" t="s">
        <v>74</v>
      </c>
      <c r="F36" s="65"/>
      <c r="G36" s="65"/>
      <c r="H36" s="65"/>
    </row>
    <row r="37" spans="1:9" ht="20.100000000000001" customHeight="1" x14ac:dyDescent="0.3">
      <c r="A37" s="76" t="s">
        <v>146</v>
      </c>
      <c r="B37" s="63" t="s">
        <v>147</v>
      </c>
      <c r="C37" s="77">
        <f>C38*C18*(C39/100)*(C40/100)</f>
        <v>3.2</v>
      </c>
      <c r="D37" s="68" t="s">
        <v>98</v>
      </c>
      <c r="E37" s="66" t="s">
        <v>82</v>
      </c>
      <c r="F37" s="317" t="s">
        <v>148</v>
      </c>
      <c r="G37" s="317"/>
      <c r="H37" s="317"/>
    </row>
    <row r="38" spans="1:9" ht="20.100000000000001" customHeight="1" x14ac:dyDescent="0.3">
      <c r="A38" s="78" t="s">
        <v>149</v>
      </c>
      <c r="B38" s="66" t="s">
        <v>150</v>
      </c>
      <c r="C38" s="67">
        <v>5</v>
      </c>
      <c r="D38" s="68" t="s">
        <v>116</v>
      </c>
      <c r="E38" s="66" t="s">
        <v>74</v>
      </c>
      <c r="F38" s="65"/>
      <c r="G38" s="65"/>
      <c r="H38" s="65"/>
    </row>
    <row r="39" spans="1:9" ht="20.100000000000001" customHeight="1" x14ac:dyDescent="0.3">
      <c r="A39" s="78" t="s">
        <v>151</v>
      </c>
      <c r="B39" s="66" t="s">
        <v>152</v>
      </c>
      <c r="C39" s="67">
        <v>80</v>
      </c>
      <c r="D39" s="68" t="s">
        <v>48</v>
      </c>
      <c r="E39" s="66" t="s">
        <v>74</v>
      </c>
      <c r="F39" s="65"/>
      <c r="G39" s="65"/>
      <c r="H39" s="65"/>
    </row>
    <row r="40" spans="1:9" ht="20.100000000000001" customHeight="1" x14ac:dyDescent="0.3">
      <c r="A40" s="78" t="s">
        <v>153</v>
      </c>
      <c r="B40" s="66" t="s">
        <v>154</v>
      </c>
      <c r="C40" s="67">
        <v>10</v>
      </c>
      <c r="D40" s="68" t="s">
        <v>48</v>
      </c>
      <c r="E40" s="66" t="s">
        <v>74</v>
      </c>
      <c r="F40" s="65"/>
      <c r="G40" s="65"/>
      <c r="H40" s="65"/>
      <c r="I40" s="58"/>
    </row>
    <row r="41" spans="1:9" ht="5.0999999999999996" customHeight="1" x14ac:dyDescent="0.3">
      <c r="A41" s="71"/>
      <c r="B41" s="71"/>
      <c r="D41" s="72"/>
      <c r="E41" s="73"/>
      <c r="F41" s="71"/>
      <c r="G41" s="71"/>
      <c r="H41" s="71"/>
      <c r="I41" s="58"/>
    </row>
    <row r="42" spans="1:9" ht="20.100000000000001" customHeight="1" x14ac:dyDescent="0.3">
      <c r="A42" s="63">
        <v>4</v>
      </c>
      <c r="B42" s="63" t="s">
        <v>155</v>
      </c>
      <c r="C42" s="80">
        <v>5</v>
      </c>
      <c r="D42" s="81" t="s">
        <v>110</v>
      </c>
      <c r="E42" s="66" t="s">
        <v>74</v>
      </c>
      <c r="F42" s="65"/>
      <c r="G42" s="65"/>
      <c r="H42" s="65"/>
    </row>
    <row r="43" spans="1:9" ht="5.0999999999999996" customHeight="1" x14ac:dyDescent="0.3">
      <c r="I43" s="58"/>
    </row>
    <row r="44" spans="1:9" ht="20.100000000000001" customHeight="1" x14ac:dyDescent="0.3">
      <c r="A44" s="111" t="s">
        <v>156</v>
      </c>
      <c r="B44" s="108" t="s">
        <v>157</v>
      </c>
      <c r="C44" s="109">
        <f>C23+C42</f>
        <v>203.56438356164384</v>
      </c>
      <c r="D44" s="110" t="s">
        <v>110</v>
      </c>
      <c r="E44" s="108" t="s">
        <v>82</v>
      </c>
      <c r="F44" s="333" t="s">
        <v>158</v>
      </c>
      <c r="G44" s="333"/>
      <c r="H44" s="333"/>
    </row>
    <row r="45" spans="1:9" ht="20.100000000000001" customHeight="1" x14ac:dyDescent="0.3">
      <c r="A45" s="111" t="s">
        <v>159</v>
      </c>
      <c r="B45" s="108" t="s">
        <v>160</v>
      </c>
      <c r="C45" s="109">
        <f>C19-C44</f>
        <v>1738.149902152642</v>
      </c>
      <c r="D45" s="110" t="s">
        <v>110</v>
      </c>
      <c r="E45" s="108" t="s">
        <v>82</v>
      </c>
      <c r="F45" s="333" t="s">
        <v>161</v>
      </c>
      <c r="G45" s="333"/>
      <c r="H45" s="333"/>
    </row>
    <row r="46" spans="1:9" ht="20.100000000000001" customHeight="1" x14ac:dyDescent="0.3">
      <c r="A46" s="111" t="s">
        <v>162</v>
      </c>
      <c r="B46" s="108" t="s">
        <v>163</v>
      </c>
      <c r="C46" s="109">
        <f>C45/C20</f>
        <v>144.84582517938682</v>
      </c>
      <c r="D46" s="110" t="s">
        <v>164</v>
      </c>
      <c r="E46" s="108" t="s">
        <v>82</v>
      </c>
      <c r="F46" s="333" t="s">
        <v>165</v>
      </c>
      <c r="G46" s="333"/>
      <c r="H46" s="333"/>
      <c r="I46" s="58"/>
    </row>
    <row r="47" spans="1:9" ht="20.100000000000001" customHeight="1" x14ac:dyDescent="0.3">
      <c r="C47" s="82"/>
      <c r="E47" s="59"/>
    </row>
    <row r="48" spans="1:9" ht="20.100000000000001" customHeight="1" x14ac:dyDescent="0.3">
      <c r="C48" s="82"/>
      <c r="D48" s="59"/>
      <c r="E48" s="59"/>
    </row>
    <row r="49" spans="4:5" ht="20.100000000000001" customHeight="1" x14ac:dyDescent="0.3">
      <c r="D49" s="59"/>
      <c r="E49" s="59"/>
    </row>
    <row r="50" spans="4:5" ht="20.100000000000001" customHeight="1" x14ac:dyDescent="0.3">
      <c r="D50" s="59"/>
      <c r="E50" s="59"/>
    </row>
    <row r="51" spans="4:5" ht="20.100000000000001" customHeight="1" x14ac:dyDescent="0.3">
      <c r="D51" s="59"/>
      <c r="E51" s="59"/>
    </row>
    <row r="52" spans="4:5" ht="20.100000000000001" customHeight="1" x14ac:dyDescent="0.3">
      <c r="D52" s="59"/>
      <c r="E52" s="59"/>
    </row>
    <row r="53" spans="4:5" ht="20.100000000000001" customHeight="1" x14ac:dyDescent="0.3">
      <c r="D53" s="59"/>
      <c r="E53" s="59"/>
    </row>
    <row r="54" spans="4:5" ht="20.100000000000001" customHeight="1" x14ac:dyDescent="0.3">
      <c r="D54" s="59"/>
      <c r="E54" s="59"/>
    </row>
    <row r="55" spans="4:5" ht="20.100000000000001" customHeight="1" x14ac:dyDescent="0.3">
      <c r="D55" s="59"/>
      <c r="E55" s="59"/>
    </row>
    <row r="56" spans="4:5" ht="20.100000000000001" customHeight="1" x14ac:dyDescent="0.3">
      <c r="D56" s="59"/>
      <c r="E56" s="59"/>
    </row>
    <row r="57" spans="4:5" ht="20.100000000000001" customHeight="1" x14ac:dyDescent="0.3">
      <c r="D57" s="59"/>
      <c r="E57" s="59"/>
    </row>
    <row r="58" spans="4:5" ht="20.100000000000001" customHeight="1" x14ac:dyDescent="0.3">
      <c r="D58" s="59"/>
      <c r="E58" s="59"/>
    </row>
    <row r="59" spans="4:5" ht="20.100000000000001" customHeight="1" x14ac:dyDescent="0.3">
      <c r="D59" s="59"/>
      <c r="E59" s="59"/>
    </row>
    <row r="60" spans="4:5" ht="20.100000000000001" customHeight="1" x14ac:dyDescent="0.3">
      <c r="D60" s="59"/>
      <c r="E60" s="59"/>
    </row>
    <row r="61" spans="4:5" ht="20.100000000000001" customHeight="1" x14ac:dyDescent="0.3">
      <c r="D61" s="59"/>
      <c r="E61" s="59"/>
    </row>
    <row r="62" spans="4:5" ht="20.100000000000001" customHeight="1" x14ac:dyDescent="0.3">
      <c r="D62" s="59"/>
      <c r="E62" s="59"/>
    </row>
    <row r="63" spans="4:5" ht="20.100000000000001" customHeight="1" x14ac:dyDescent="0.3">
      <c r="D63" s="59"/>
      <c r="E63" s="59"/>
    </row>
    <row r="64" spans="4:5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</sheetData>
  <sheetProtection algorithmName="SHA-512" hashValue="WgDnniUFCt45lha4Ann0n+Cy5+Ljc1ZkgBWNU8oHnUNo0OF3YoAiJOAGsvbYd84XidVumaOGBig8AIRxJQkzPg==" saltValue="gJizVSGLolIEdFFgN+woeA==" spinCount="100000" sheet="1" objects="1" scenarios="1"/>
  <mergeCells count="16">
    <mergeCell ref="G33:H33"/>
    <mergeCell ref="F37:H37"/>
    <mergeCell ref="F44:H44"/>
    <mergeCell ref="F45:H45"/>
    <mergeCell ref="F46:H46"/>
    <mergeCell ref="F31:G31"/>
    <mergeCell ref="F32:H32"/>
    <mergeCell ref="A1:H2"/>
    <mergeCell ref="D7:H7"/>
    <mergeCell ref="D16:H16"/>
    <mergeCell ref="F18:G18"/>
    <mergeCell ref="A4:H4"/>
    <mergeCell ref="D23:E23"/>
    <mergeCell ref="F23:H23"/>
    <mergeCell ref="F28:H28"/>
    <mergeCell ref="F30:H30"/>
  </mergeCells>
  <printOptions horizontalCentered="1"/>
  <pageMargins left="0.51181102362204722" right="0.51181102362204722" top="0.78740157480314965" bottom="0.78740157480314965" header="0.31496062992125984" footer="0.31496062992125984"/>
  <pageSetup scale="70" orientation="portrait" r:id="rId1"/>
  <headerFooter>
    <oddFooter>&amp;L&amp;F&amp;C&amp;A&amp;R&amp;P/&amp;N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Capa</vt:lpstr>
      <vt:lpstr>Esgoto gerado</vt:lpstr>
      <vt:lpstr>Custos de operação</vt:lpstr>
      <vt:lpstr>Investimentos</vt:lpstr>
      <vt:lpstr>BDI</vt:lpstr>
      <vt:lpstr>Encargos sociais</vt:lpstr>
      <vt:lpstr>Horas trabalhadas</vt:lpstr>
      <vt:lpstr>BDI!Area_de_impressao</vt:lpstr>
      <vt:lpstr>'Esgoto gerado'!Area_de_impressao</vt:lpstr>
      <vt:lpstr>'Custos de operação'!Titulos_de_impressao</vt:lpstr>
      <vt:lpstr>'Encargos sociais'!Titulos_de_impressao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Ana Carolina Ptzer Jacob</cp:lastModifiedBy>
  <cp:lastPrinted>2020-05-10T23:16:25Z</cp:lastPrinted>
  <dcterms:created xsi:type="dcterms:W3CDTF">2015-11-19T12:55:36Z</dcterms:created>
  <dcterms:modified xsi:type="dcterms:W3CDTF">2022-03-31T15:20:17Z</dcterms:modified>
</cp:coreProperties>
</file>